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0" yWindow="0" windowWidth="9660" windowHeight="5490" tabRatio="774"/>
  </bookViews>
  <sheets>
    <sheet name="Заявка" sheetId="1" r:id="rId1"/>
    <sheet name="закулисье" sheetId="2" state="hidden" r:id="rId2"/>
    <sheet name="узлы" sheetId="8" state="hidden" r:id="rId3"/>
    <sheet name="из города" sheetId="9" state="hidden" r:id="rId4"/>
    <sheet name="Болтогайкокалькулятор" sheetId="11" state="hidden" r:id="rId5"/>
    <sheet name="Фундамент" sheetId="12" state="hidden" r:id="rId6"/>
    <sheet name="Ср.мес.Т" sheetId="13" state="hidden" r:id="rId7"/>
    <sheet name="фундамент закулисье" sheetId="14" state="hidden" r:id="rId8"/>
  </sheets>
  <externalReferences>
    <externalReference r:id="rId9"/>
  </externalReferences>
  <definedNames>
    <definedName name="_3005.html?lang_ru" localSheetId="2">узлы!$AC$1:$AE$135</definedName>
    <definedName name="_FilterDatabase" localSheetId="6" hidden="1">Ср.мес.Т!$A$4:$BP$4</definedName>
    <definedName name="_FilterDatabase" localSheetId="2" hidden="1">узлы!$W$58</definedName>
    <definedName name="Print_Area" localSheetId="0">Заявка!$A$2:$O$1135</definedName>
    <definedName name="Print_Area" localSheetId="5">Фундамент!$A$3:$AL$95</definedName>
    <definedName name="www.cbr.ru" localSheetId="2">узлы!$Y$1:$AA$140</definedName>
    <definedName name="гайка" localSheetId="4">Болтогайкокалькулятор!$F$21:$F$40</definedName>
    <definedName name="гайка">Заявка!$G$437:$G$451</definedName>
    <definedName name="города">#REF!</definedName>
    <definedName name="города2">#N/A</definedName>
    <definedName name="грн">закулисье!$P$82:$P$88</definedName>
    <definedName name="заголовки" localSheetId="4">Болтогайкокалькулятор!$C$21:$C$40</definedName>
    <definedName name="заголовки">Заявка!$D$437:$D$451</definedName>
    <definedName name="Заголовки2">закулисье!$D$6:$D$7</definedName>
    <definedName name="кг">закулисье!$E$82:$E$88</definedName>
    <definedName name="кг3">узлы!$E$34:$E$40</definedName>
    <definedName name="количество">закулисье!$D$82:$D$88</definedName>
    <definedName name="количество3">узлы!$D$34:$D$40</definedName>
    <definedName name="комплект">#REF!</definedName>
    <definedName name="комплект2">#REF!</definedName>
    <definedName name="комплекты">'[1] '!$C$34:$C$40</definedName>
    <definedName name="комплекты2">#REF!</definedName>
    <definedName name="руб">закулисье!$O$82:$O$88</definedName>
    <definedName name="скобы">#REF!</definedName>
    <definedName name="скобы2">закулисье!$Q$82:$Q$88</definedName>
    <definedName name="список" localSheetId="4">Болтогайкокалькулятор!$C$21:$G$40</definedName>
    <definedName name="список">Заявка!$D$437:$I$451</definedName>
    <definedName name="стоимость">#REF!</definedName>
    <definedName name="стоимость_2">#N/A</definedName>
    <definedName name="стоимость_два">#REF!</definedName>
    <definedName name="стоимость_два2">#N/A</definedName>
    <definedName name="стоимость_пять">#REF!</definedName>
    <definedName name="стоимость_три">#N/A</definedName>
    <definedName name="стоимость_четыре">#REF!</definedName>
    <definedName name="стоимость_шесть">#REF!</definedName>
    <definedName name="стоимость_шесть2">#N/A</definedName>
    <definedName name="стоимость2">#REF!</definedName>
    <definedName name="тип" localSheetId="4">Болтогайкокалькулятор!$M$21:$M$22</definedName>
    <definedName name="тип">закулисье!$O$3:$O$5</definedName>
    <definedName name="Тип2">закулисье!$O$3:$O$6</definedName>
    <definedName name="тип3">узлы!$R$34:$R$35</definedName>
    <definedName name="узлы" localSheetId="4">Болтогайкокалькулятор!$B$21:$B$40</definedName>
    <definedName name="узлы">Заявка!$C$437:$C$451</definedName>
    <definedName name="х150" localSheetId="4">Болтогайкокалькулятор!$D$21:$D$40</definedName>
    <definedName name="х150">Заявка!$E$437:$E$451</definedName>
    <definedName name="х70" localSheetId="4">Болтогайкокалькулятор!$E$21:$E$40</definedName>
    <definedName name="х70">Заявка!$F$437:$F$451</definedName>
    <definedName name="хрень">#REF!</definedName>
    <definedName name="шайба" localSheetId="4">Болтогайкокалькулятор!$G$21:$G$40</definedName>
    <definedName name="шайба">Заявка!$I$437:$I$451</definedName>
    <definedName name="ящ.скоб">закулисье!$J$82:$J$88</definedName>
    <definedName name="ящ.труб">закулисье!$K$82:$K$88</definedName>
    <definedName name="ящики">закулисье!$M$82:$M$88</definedName>
  </definedNames>
  <calcPr calcId="124519"/>
</workbook>
</file>

<file path=xl/calcChain.xml><?xml version="1.0" encoding="utf-8"?>
<calcChain xmlns="http://schemas.openxmlformats.org/spreadsheetml/2006/main">
  <c r="L1128" i="1"/>
  <c r="M476"/>
  <c r="F1136"/>
  <c r="A1115"/>
  <c r="A1113"/>
  <c r="A1111"/>
  <c r="A1109"/>
  <c r="A1107"/>
  <c r="A1105"/>
  <c r="A1103"/>
  <c r="A998"/>
  <c r="A996"/>
  <c r="A994"/>
  <c r="A992"/>
  <c r="A990"/>
  <c r="A988"/>
  <c r="A986"/>
  <c r="A946"/>
  <c r="A944"/>
  <c r="A942"/>
  <c r="A940"/>
  <c r="A938"/>
  <c r="A936"/>
  <c r="A934"/>
  <c r="A932"/>
  <c r="A745"/>
  <c r="A743"/>
  <c r="A741"/>
  <c r="A739"/>
  <c r="A737"/>
  <c r="A735"/>
  <c r="A733"/>
  <c r="A509"/>
  <c r="A507"/>
  <c r="A505"/>
  <c r="A503"/>
  <c r="A501"/>
  <c r="A499"/>
  <c r="A497"/>
  <c r="A477"/>
  <c r="A475"/>
  <c r="A473"/>
  <c r="A471"/>
  <c r="A469"/>
  <c r="A467"/>
  <c r="A465"/>
  <c r="A463"/>
  <c r="L100"/>
  <c r="T54" i="8"/>
  <c r="A34" i="1"/>
  <c r="A30"/>
  <c r="A24"/>
  <c r="A27"/>
  <c r="A21"/>
  <c r="A18"/>
  <c r="A15"/>
  <c r="G1126"/>
  <c r="K1105"/>
  <c r="K1106"/>
  <c r="K1107"/>
  <c r="K1108"/>
  <c r="K1109"/>
  <c r="K1110"/>
  <c r="K1111"/>
  <c r="K1112"/>
  <c r="K1113"/>
  <c r="K1104"/>
  <c r="B1114"/>
  <c r="B1108"/>
  <c r="B1109"/>
  <c r="B1112"/>
  <c r="B1104"/>
  <c r="G1091"/>
  <c r="C1088" s="1"/>
  <c r="E1091"/>
  <c r="C1094" s="1"/>
  <c r="G988"/>
  <c r="G1122" s="1"/>
  <c r="B996"/>
  <c r="B1113" s="1"/>
  <c r="B990"/>
  <c r="B1107" s="1"/>
  <c r="B989"/>
  <c r="B1106" s="1"/>
  <c r="B988"/>
  <c r="B1105" s="1"/>
  <c r="C976"/>
  <c r="B994" s="1"/>
  <c r="B1111" s="1"/>
  <c r="C970"/>
  <c r="C964"/>
  <c r="C980"/>
  <c r="D842"/>
  <c r="D845"/>
  <c r="G941"/>
  <c r="L941" s="1"/>
  <c r="G943"/>
  <c r="L943" s="1"/>
  <c r="G779"/>
  <c r="B942" s="1"/>
  <c r="W58" i="8"/>
  <c r="T53" s="1"/>
  <c r="T56" s="1"/>
  <c r="J103" i="1" s="1"/>
  <c r="G769"/>
  <c r="G940"/>
  <c r="G942"/>
  <c r="L942" s="1"/>
  <c r="M780"/>
  <c r="G784"/>
  <c r="T24" i="14"/>
  <c r="S24"/>
  <c r="D837" i="1"/>
  <c r="D836"/>
  <c r="C826"/>
  <c r="D819"/>
  <c r="F816"/>
  <c r="D811"/>
  <c r="D810"/>
  <c r="J778"/>
  <c r="J772"/>
  <c r="J769" s="1"/>
  <c r="E966" s="1"/>
  <c r="K807"/>
  <c r="K805"/>
  <c r="N781"/>
  <c r="N783"/>
  <c r="L775"/>
  <c r="E940" s="1"/>
  <c r="B750"/>
  <c r="C282" i="12"/>
  <c r="C297"/>
  <c r="C318"/>
  <c r="C332"/>
  <c r="F9"/>
  <c r="F8"/>
  <c r="F7"/>
  <c r="O5"/>
  <c r="I87"/>
  <c r="G87"/>
  <c r="G88" s="1"/>
  <c r="G89" s="1"/>
  <c r="G90" s="1"/>
  <c r="G91" s="1"/>
  <c r="G92" s="1"/>
  <c r="G93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K37" i="14"/>
  <c r="K36"/>
  <c r="C36"/>
  <c r="B28" s="1"/>
  <c r="C28" s="1"/>
  <c r="B34"/>
  <c r="B33"/>
  <c r="O32"/>
  <c r="K32"/>
  <c r="B32"/>
  <c r="R31"/>
  <c r="R32" s="1"/>
  <c r="O31"/>
  <c r="B31"/>
  <c r="P30"/>
  <c r="P32" s="1"/>
  <c r="O30"/>
  <c r="B30"/>
  <c r="T29"/>
  <c r="S29"/>
  <c r="R29"/>
  <c r="R27"/>
  <c r="K25"/>
  <c r="K24"/>
  <c r="D9"/>
  <c r="C9"/>
  <c r="G335" i="12"/>
  <c r="M334"/>
  <c r="K334"/>
  <c r="I334"/>
  <c r="G334"/>
  <c r="M333"/>
  <c r="K333"/>
  <c r="I333"/>
  <c r="G333"/>
  <c r="M332"/>
  <c r="K332"/>
  <c r="I332"/>
  <c r="G332"/>
  <c r="F329"/>
  <c r="F328"/>
  <c r="F327"/>
  <c r="F326"/>
  <c r="F325"/>
  <c r="F324"/>
  <c r="F323"/>
  <c r="F322"/>
  <c r="F321"/>
  <c r="F320"/>
  <c r="F319"/>
  <c r="F318"/>
  <c r="F315"/>
  <c r="F314"/>
  <c r="F313"/>
  <c r="F312"/>
  <c r="F311"/>
  <c r="F310"/>
  <c r="L309"/>
  <c r="L308"/>
  <c r="F308"/>
  <c r="L307"/>
  <c r="L306"/>
  <c r="F306"/>
  <c r="L305"/>
  <c r="L304"/>
  <c r="F304"/>
  <c r="F303"/>
  <c r="F302"/>
  <c r="F301"/>
  <c r="M300"/>
  <c r="M299"/>
  <c r="F299"/>
  <c r="M298"/>
  <c r="M297"/>
  <c r="F297"/>
  <c r="G285"/>
  <c r="M284"/>
  <c r="K284"/>
  <c r="I284"/>
  <c r="G284"/>
  <c r="M283"/>
  <c r="K283"/>
  <c r="I283"/>
  <c r="G283"/>
  <c r="M282"/>
  <c r="K282"/>
  <c r="I282"/>
  <c r="G282"/>
  <c r="B740" i="1"/>
  <c r="B739"/>
  <c r="B738"/>
  <c r="B502"/>
  <c r="B503"/>
  <c r="M809" l="1"/>
  <c r="G1105"/>
  <c r="G989"/>
  <c r="G1106" s="1"/>
  <c r="I988"/>
  <c r="M988"/>
  <c r="G996"/>
  <c r="G1113" s="1"/>
  <c r="I1113" s="1"/>
  <c r="M1113" s="1"/>
  <c r="G995"/>
  <c r="G1112" s="1"/>
  <c r="I1112" s="1"/>
  <c r="M1112" s="1"/>
  <c r="G991"/>
  <c r="G1108" s="1"/>
  <c r="I1108" s="1"/>
  <c r="M1108" s="1"/>
  <c r="C1084"/>
  <c r="B993"/>
  <c r="B1110" s="1"/>
  <c r="B940"/>
  <c r="F940"/>
  <c r="L940" s="1"/>
  <c r="O6" i="12"/>
  <c r="I88"/>
  <c r="H7" s="1"/>
  <c r="G750" i="1" s="1"/>
  <c r="G137" i="12"/>
  <c r="G138" s="1"/>
  <c r="G139" s="1"/>
  <c r="G140" s="1"/>
  <c r="G141" s="1"/>
  <c r="G142" s="1"/>
  <c r="G143" s="1"/>
  <c r="G144" s="1"/>
  <c r="G145" s="1"/>
  <c r="G146" s="1"/>
  <c r="G147" s="1"/>
  <c r="A67" s="1"/>
  <c r="A68" s="1"/>
  <c r="A69" s="1"/>
  <c r="A70" s="1"/>
  <c r="A71" s="1"/>
  <c r="A72" s="1"/>
  <c r="A73" s="1"/>
  <c r="A74" s="1"/>
  <c r="A75" s="1"/>
  <c r="P31" i="14"/>
  <c r="K31" s="1"/>
  <c r="R33"/>
  <c r="I28" i="2"/>
  <c r="H28"/>
  <c r="I1106" i="1" l="1"/>
  <c r="M1106" s="1"/>
  <c r="G1107"/>
  <c r="G990"/>
  <c r="I1105"/>
  <c r="G1124"/>
  <c r="M1105"/>
  <c r="G1114"/>
  <c r="G994"/>
  <c r="G1111" s="1"/>
  <c r="I1111" s="1"/>
  <c r="M1111" s="1"/>
  <c r="I995"/>
  <c r="I991"/>
  <c r="I989"/>
  <c r="G987"/>
  <c r="G1104" s="1"/>
  <c r="I1104" s="1"/>
  <c r="M1104" s="1"/>
  <c r="I993"/>
  <c r="I996"/>
  <c r="G993"/>
  <c r="G1110" s="1"/>
  <c r="I1110" s="1"/>
  <c r="M1110" s="1"/>
  <c r="G992"/>
  <c r="G1109" s="1"/>
  <c r="I1109" s="1"/>
  <c r="M1109" s="1"/>
  <c r="I89" i="12"/>
  <c r="H8" s="1"/>
  <c r="J750" i="1" s="1"/>
  <c r="N662"/>
  <c r="J652"/>
  <c r="G26" i="2"/>
  <c r="I26" s="1"/>
  <c r="I1107" i="1" l="1"/>
  <c r="M1107" s="1"/>
  <c r="I990"/>
  <c r="M990" s="1"/>
  <c r="I1114"/>
  <c r="G1115"/>
  <c r="I1115" s="1"/>
  <c r="M1115" s="1"/>
  <c r="M1114"/>
  <c r="I994"/>
  <c r="M994" s="1"/>
  <c r="M989"/>
  <c r="M993"/>
  <c r="I987"/>
  <c r="M991"/>
  <c r="M995"/>
  <c r="I992"/>
  <c r="M996"/>
  <c r="I90" i="12"/>
  <c r="H9" s="1"/>
  <c r="J755" i="1" s="1"/>
  <c r="G28" i="2"/>
  <c r="B476" i="1"/>
  <c r="B103"/>
  <c r="N14" s="1"/>
  <c r="E102"/>
  <c r="H485"/>
  <c r="B500"/>
  <c r="B16"/>
  <c r="E79"/>
  <c r="E54"/>
  <c r="R7" i="2"/>
  <c r="H16" i="1" s="1"/>
  <c r="G26"/>
  <c r="G40" s="1"/>
  <c r="X12" i="2"/>
  <c r="X13" s="1"/>
  <c r="U14"/>
  <c r="U12"/>
  <c r="Y12" s="1"/>
  <c r="U13" s="1"/>
  <c r="T12"/>
  <c r="T13" s="1"/>
  <c r="V12"/>
  <c r="Z12" s="1"/>
  <c r="W12"/>
  <c r="AA12" s="1"/>
  <c r="Y13"/>
  <c r="G14"/>
  <c r="J23"/>
  <c r="K23"/>
  <c r="E45"/>
  <c r="E46" s="1"/>
  <c r="F46" s="1"/>
  <c r="G45"/>
  <c r="G47" s="1"/>
  <c r="H47" s="1"/>
  <c r="F48"/>
  <c r="H48"/>
  <c r="F51"/>
  <c r="H51"/>
  <c r="F52"/>
  <c r="H52"/>
  <c r="F53"/>
  <c r="H53"/>
  <c r="F54"/>
  <c r="H54"/>
  <c r="N1122" i="1" l="1"/>
  <c r="K103"/>
  <c r="M1117"/>
  <c r="L1115"/>
  <c r="N1115"/>
  <c r="L1114"/>
  <c r="N1114"/>
  <c r="M992"/>
  <c r="M987"/>
  <c r="N1104"/>
  <c r="L1104"/>
  <c r="L1111"/>
  <c r="N1110"/>
  <c r="L1109"/>
  <c r="N1108"/>
  <c r="L990"/>
  <c r="N1113"/>
  <c r="L1112"/>
  <c r="L1107"/>
  <c r="N1106"/>
  <c r="L1105"/>
  <c r="L987"/>
  <c r="L994"/>
  <c r="N1111"/>
  <c r="L1110"/>
  <c r="N1109"/>
  <c r="L1108"/>
  <c r="L993"/>
  <c r="N1117"/>
  <c r="L1113"/>
  <c r="N1112"/>
  <c r="N1107"/>
  <c r="L1106"/>
  <c r="N1105"/>
  <c r="L992"/>
  <c r="L996"/>
  <c r="L995"/>
  <c r="N994"/>
  <c r="L991"/>
  <c r="N996"/>
  <c r="N992"/>
  <c r="N993"/>
  <c r="N991"/>
  <c r="N990"/>
  <c r="L989"/>
  <c r="L988"/>
  <c r="N998"/>
  <c r="N995"/>
  <c r="N989"/>
  <c r="N988"/>
  <c r="N987"/>
  <c r="M939"/>
  <c r="M943"/>
  <c r="M938"/>
  <c r="M942"/>
  <c r="M937"/>
  <c r="M941"/>
  <c r="M946"/>
  <c r="M940"/>
  <c r="M936"/>
  <c r="K937"/>
  <c r="K941"/>
  <c r="K943"/>
  <c r="K940"/>
  <c r="K939"/>
  <c r="K936"/>
  <c r="K938"/>
  <c r="K942"/>
  <c r="I91" i="12"/>
  <c r="I92" s="1"/>
  <c r="I93" s="1"/>
  <c r="I95" s="1"/>
  <c r="I96" s="1"/>
  <c r="I97" s="1"/>
  <c r="I98" s="1"/>
  <c r="I99" s="1"/>
  <c r="I100" s="1"/>
  <c r="I101" s="1"/>
  <c r="I102" s="1"/>
  <c r="I103" s="1"/>
  <c r="I104" s="1"/>
  <c r="I105" s="1"/>
  <c r="I106" s="1"/>
  <c r="I107" s="1"/>
  <c r="I110" s="1"/>
  <c r="I111" s="1"/>
  <c r="I112" s="1"/>
  <c r="I113" s="1"/>
  <c r="I114" s="1"/>
  <c r="I115" s="1"/>
  <c r="I116" s="1"/>
  <c r="I117" s="1"/>
  <c r="I118" s="1"/>
  <c r="I119" s="1"/>
  <c r="I120" s="1"/>
  <c r="I121" s="1"/>
  <c r="I122" s="1"/>
  <c r="I123" s="1"/>
  <c r="I124" s="1"/>
  <c r="I125" s="1"/>
  <c r="I126" s="1"/>
  <c r="I127" s="1"/>
  <c r="I128" s="1"/>
  <c r="I129" s="1"/>
  <c r="I130" s="1"/>
  <c r="I131" s="1"/>
  <c r="I132" s="1"/>
  <c r="I133" s="1"/>
  <c r="I134" s="1"/>
  <c r="I135" s="1"/>
  <c r="I136" s="1"/>
  <c r="N736" i="1"/>
  <c r="N740"/>
  <c r="L735"/>
  <c r="N735"/>
  <c r="N739"/>
  <c r="L740"/>
  <c r="L741"/>
  <c r="N738"/>
  <c r="L737"/>
  <c r="N741"/>
  <c r="N737"/>
  <c r="L738"/>
  <c r="L739"/>
  <c r="L736"/>
  <c r="L745"/>
  <c r="L743"/>
  <c r="N743"/>
  <c r="N745"/>
  <c r="L744"/>
  <c r="L742"/>
  <c r="N746"/>
  <c r="N744"/>
  <c r="N742"/>
  <c r="I660"/>
  <c r="M468"/>
  <c r="N504"/>
  <c r="L505"/>
  <c r="N507"/>
  <c r="N503"/>
  <c r="L506"/>
  <c r="L502"/>
  <c r="N506"/>
  <c r="L503"/>
  <c r="N505"/>
  <c r="L504"/>
  <c r="M478"/>
  <c r="H475"/>
  <c r="J475"/>
  <c r="L500"/>
  <c r="H471"/>
  <c r="J476"/>
  <c r="K100"/>
  <c r="L501"/>
  <c r="H476"/>
  <c r="J471"/>
  <c r="H474"/>
  <c r="J474"/>
  <c r="M464"/>
  <c r="M465"/>
  <c r="N501"/>
  <c r="M466"/>
  <c r="M467"/>
  <c r="N500"/>
  <c r="N502"/>
  <c r="W13" i="2"/>
  <c r="T19" s="1"/>
  <c r="T18"/>
  <c r="V13"/>
  <c r="V18" s="1"/>
  <c r="K5"/>
  <c r="K32" s="1"/>
  <c r="T20"/>
  <c r="G46"/>
  <c r="H46" s="1"/>
  <c r="E50"/>
  <c r="F50" s="1"/>
  <c r="E47"/>
  <c r="F47" s="1"/>
  <c r="E49"/>
  <c r="F49" s="1"/>
  <c r="G50"/>
  <c r="H50" s="1"/>
  <c r="G49"/>
  <c r="H49" s="1"/>
  <c r="L4"/>
  <c r="L5" s="1"/>
  <c r="E59"/>
  <c r="E55" s="1"/>
  <c r="T64" i="8"/>
  <c r="J15" i="11"/>
  <c r="J463" i="1"/>
  <c r="I463"/>
  <c r="G464"/>
  <c r="F465"/>
  <c r="G465"/>
  <c r="H465"/>
  <c r="G466"/>
  <c r="H466"/>
  <c r="G467"/>
  <c r="H467"/>
  <c r="E464"/>
  <c r="E465"/>
  <c r="E466"/>
  <c r="E467"/>
  <c r="D465"/>
  <c r="D466"/>
  <c r="D467"/>
  <c r="D464"/>
  <c r="B465"/>
  <c r="B466"/>
  <c r="B467"/>
  <c r="B464"/>
  <c r="N20" i="11"/>
  <c r="N21" s="1"/>
  <c r="G12" s="1"/>
  <c r="H464" i="1" s="1"/>
  <c r="E40" i="11"/>
  <c r="D40"/>
  <c r="F40" s="1"/>
  <c r="G40" s="1"/>
  <c r="E39"/>
  <c r="D39"/>
  <c r="F39" s="1"/>
  <c r="G39" s="1"/>
  <c r="E38"/>
  <c r="D38"/>
  <c r="F38" s="1"/>
  <c r="G38" s="1"/>
  <c r="E37"/>
  <c r="D37"/>
  <c r="F37" s="1"/>
  <c r="G37" s="1"/>
  <c r="E36"/>
  <c r="D36"/>
  <c r="F36" s="1"/>
  <c r="G36" s="1"/>
  <c r="E35"/>
  <c r="D35"/>
  <c r="F35" s="1"/>
  <c r="G35" s="1"/>
  <c r="E34"/>
  <c r="D34"/>
  <c r="F34" s="1"/>
  <c r="G34" s="1"/>
  <c r="E33"/>
  <c r="D33"/>
  <c r="F33" s="1"/>
  <c r="G33" s="1"/>
  <c r="E32"/>
  <c r="D32"/>
  <c r="F32" s="1"/>
  <c r="G32" s="1"/>
  <c r="E31"/>
  <c r="D31"/>
  <c r="F31" s="1"/>
  <c r="G31" s="1"/>
  <c r="E30"/>
  <c r="D30"/>
  <c r="F30" s="1"/>
  <c r="G30" s="1"/>
  <c r="E29"/>
  <c r="D29"/>
  <c r="F29" s="1"/>
  <c r="G29" s="1"/>
  <c r="E28"/>
  <c r="D28"/>
  <c r="F28" s="1"/>
  <c r="G28" s="1"/>
  <c r="E27"/>
  <c r="D27"/>
  <c r="F27" s="1"/>
  <c r="G27" s="1"/>
  <c r="E26"/>
  <c r="D26"/>
  <c r="F26" s="1"/>
  <c r="G26" s="1"/>
  <c r="E25"/>
  <c r="D25"/>
  <c r="F25" s="1"/>
  <c r="G25" s="1"/>
  <c r="E24"/>
  <c r="D24"/>
  <c r="F24" s="1"/>
  <c r="G24" s="1"/>
  <c r="E23"/>
  <c r="D23"/>
  <c r="F23" s="1"/>
  <c r="G22"/>
  <c r="F22"/>
  <c r="F21"/>
  <c r="G21" s="1"/>
  <c r="E474" i="1"/>
  <c r="I474" s="1"/>
  <c r="E473"/>
  <c r="Q6" i="2"/>
  <c r="Q40" i="8"/>
  <c r="P40"/>
  <c r="O40"/>
  <c r="N40"/>
  <c r="S40" s="1"/>
  <c r="K40"/>
  <c r="J40" s="1"/>
  <c r="L40" s="1"/>
  <c r="M40" s="1"/>
  <c r="G40"/>
  <c r="F40"/>
  <c r="Q39"/>
  <c r="P39"/>
  <c r="O39"/>
  <c r="N39"/>
  <c r="S39" s="1"/>
  <c r="K39"/>
  <c r="J39"/>
  <c r="L39" s="1"/>
  <c r="M39" s="1"/>
  <c r="G39"/>
  <c r="E39" s="1"/>
  <c r="F39"/>
  <c r="Q38"/>
  <c r="P38"/>
  <c r="O38"/>
  <c r="N38"/>
  <c r="S38" s="1"/>
  <c r="K38"/>
  <c r="J38" s="1"/>
  <c r="L38" s="1"/>
  <c r="M38" s="1"/>
  <c r="G38"/>
  <c r="F38"/>
  <c r="Q37"/>
  <c r="P37"/>
  <c r="O37"/>
  <c r="N37"/>
  <c r="S37" s="1"/>
  <c r="K37"/>
  <c r="J37" s="1"/>
  <c r="L37" s="1"/>
  <c r="M37" s="1"/>
  <c r="G37"/>
  <c r="F37"/>
  <c r="Q36"/>
  <c r="P36"/>
  <c r="O36"/>
  <c r="N36"/>
  <c r="S36" s="1"/>
  <c r="K36"/>
  <c r="J36" s="1"/>
  <c r="L36" s="1"/>
  <c r="M36" s="1"/>
  <c r="G36"/>
  <c r="F36"/>
  <c r="E36" s="1"/>
  <c r="Q35"/>
  <c r="P35"/>
  <c r="O35"/>
  <c r="N35"/>
  <c r="S35" s="1"/>
  <c r="K35"/>
  <c r="J35" s="1"/>
  <c r="L35" s="1"/>
  <c r="M35" s="1"/>
  <c r="G35"/>
  <c r="F35"/>
  <c r="Q34"/>
  <c r="P34"/>
  <c r="O34"/>
  <c r="N34"/>
  <c r="S34" s="1"/>
  <c r="K34"/>
  <c r="J34" s="1"/>
  <c r="L34" s="1"/>
  <c r="M34" s="1"/>
  <c r="G34"/>
  <c r="F34"/>
  <c r="H34" s="1"/>
  <c r="H30"/>
  <c r="R28"/>
  <c r="Q28"/>
  <c r="M28"/>
  <c r="R27"/>
  <c r="H23"/>
  <c r="H22"/>
  <c r="H21"/>
  <c r="H20"/>
  <c r="H19"/>
  <c r="H18"/>
  <c r="R17"/>
  <c r="H17"/>
  <c r="S16"/>
  <c r="I15"/>
  <c r="O17" s="1"/>
  <c r="W4"/>
  <c r="W3"/>
  <c r="W2"/>
  <c r="W1"/>
  <c r="N7" i="2"/>
  <c r="F7"/>
  <c r="E7"/>
  <c r="F6"/>
  <c r="E6"/>
  <c r="M998" i="1" l="1"/>
  <c r="E16" i="2"/>
  <c r="E18"/>
  <c r="F19"/>
  <c r="H17"/>
  <c r="I17" s="1"/>
  <c r="F18" s="1"/>
  <c r="E17"/>
  <c r="E19"/>
  <c r="G19"/>
  <c r="H19"/>
  <c r="N404" i="1" s="1"/>
  <c r="I19" i="2"/>
  <c r="B404" i="1" s="1"/>
  <c r="F15" i="2"/>
  <c r="G17"/>
  <c r="F16"/>
  <c r="W18"/>
  <c r="AA16" s="1"/>
  <c r="H35" i="8"/>
  <c r="H282" i="12"/>
  <c r="M650" i="1"/>
  <c r="M705"/>
  <c r="H36" i="2"/>
  <c r="B661" i="1"/>
  <c r="H660" s="1"/>
  <c r="B501"/>
  <c r="K20" i="11"/>
  <c r="I20" s="1"/>
  <c r="B42" s="1"/>
  <c r="S4" i="8"/>
  <c r="E56" i="2"/>
  <c r="L433" i="1"/>
  <c r="L446"/>
  <c r="L460"/>
  <c r="G56" i="2"/>
  <c r="G55"/>
  <c r="G7"/>
  <c r="I7" s="1"/>
  <c r="G6"/>
  <c r="I6" s="1"/>
  <c r="G57"/>
  <c r="E57"/>
  <c r="H39" i="8"/>
  <c r="H37"/>
  <c r="E38"/>
  <c r="E34"/>
  <c r="E35"/>
  <c r="E37"/>
  <c r="H36"/>
  <c r="H38"/>
  <c r="E40"/>
  <c r="E475" i="1"/>
  <c r="H40" i="8"/>
  <c r="E12" i="11"/>
  <c r="F464" i="1" s="1"/>
  <c r="G23" i="11"/>
  <c r="G23" i="8"/>
  <c r="I475" i="1" l="1"/>
  <c r="E476"/>
  <c r="I476" s="1"/>
  <c r="I16" i="2"/>
  <c r="G16"/>
  <c r="G18"/>
  <c r="D41" i="14"/>
  <c r="A11"/>
  <c r="B11" s="1"/>
  <c r="H283" i="12"/>
  <c r="A12" i="14" s="1"/>
  <c r="B12" s="1"/>
  <c r="N717" i="1"/>
  <c r="H12" i="11"/>
  <c r="I464" i="1" s="1"/>
  <c r="H15" i="11"/>
  <c r="I467" i="1" s="1"/>
  <c r="H13" i="11"/>
  <c r="I465" i="1" s="1"/>
  <c r="Q19" i="8"/>
  <c r="Q17" s="1"/>
  <c r="H14" i="11"/>
  <c r="I466" i="1" s="1"/>
  <c r="J41" i="8"/>
  <c r="O41"/>
  <c r="K41"/>
  <c r="Q24" s="1"/>
  <c r="P41"/>
  <c r="Q29"/>
  <c r="Q20"/>
  <c r="P21" s="1"/>
  <c r="Q15"/>
  <c r="Q18"/>
  <c r="Q5" i="2"/>
  <c r="Q4"/>
  <c r="Q3"/>
  <c r="Q7" s="1"/>
  <c r="G477" i="1" l="1"/>
  <c r="J477" s="1"/>
  <c r="E58" i="14"/>
  <c r="E56"/>
  <c r="M56" s="1"/>
  <c r="E54"/>
  <c r="E52"/>
  <c r="M52" s="1"/>
  <c r="E50"/>
  <c r="E48"/>
  <c r="E46"/>
  <c r="E44"/>
  <c r="E57"/>
  <c r="M57" s="1"/>
  <c r="E55"/>
  <c r="E53"/>
  <c r="M53" s="1"/>
  <c r="E51"/>
  <c r="E49"/>
  <c r="M49" s="1"/>
  <c r="E47"/>
  <c r="E45"/>
  <c r="E43"/>
  <c r="M43" s="1"/>
  <c r="H284" i="12"/>
  <c r="A13" i="14" s="1"/>
  <c r="B13" s="1"/>
  <c r="O104" i="1"/>
  <c r="N4" s="1"/>
  <c r="I15" i="11"/>
  <c r="J467" i="1" s="1"/>
  <c r="I12" i="11"/>
  <c r="J464" i="1" s="1"/>
  <c r="I13" i="11"/>
  <c r="J465" i="1" s="1"/>
  <c r="I14" i="11"/>
  <c r="J466" i="1" s="1"/>
  <c r="H16" i="11"/>
  <c r="N24" i="8"/>
  <c r="L41"/>
  <c r="M41" s="1"/>
  <c r="Q30"/>
  <c r="G22" s="1"/>
  <c r="G24" s="1"/>
  <c r="G26"/>
  <c r="Q25" s="1"/>
  <c r="I477" i="1" l="1"/>
  <c r="I478" s="1"/>
  <c r="J282" i="12"/>
  <c r="K15" i="11"/>
  <c r="L467" i="1" s="1"/>
  <c r="I16" i="11"/>
  <c r="I17" s="1"/>
  <c r="G28" i="8"/>
  <c r="G30" s="1"/>
  <c r="Q27" s="1"/>
  <c r="G27"/>
  <c r="J12" i="11"/>
  <c r="J13" s="1"/>
  <c r="J283" i="12" l="1"/>
  <c r="C12" i="14" s="1"/>
  <c r="D12" s="1"/>
  <c r="L41"/>
  <c r="C11"/>
  <c r="D11" s="1"/>
  <c r="G29" i="8"/>
  <c r="Q26" s="1"/>
  <c r="K465" i="1"/>
  <c r="K13" i="11"/>
  <c r="L465" i="1" s="1"/>
  <c r="K12" i="11"/>
  <c r="J14"/>
  <c r="J284" i="12" l="1"/>
  <c r="C13" i="14" s="1"/>
  <c r="D13" s="1"/>
  <c r="L464" i="1"/>
  <c r="K14" i="11"/>
  <c r="L466" i="1" s="1"/>
  <c r="K466"/>
  <c r="L282" i="12" l="1"/>
  <c r="K16" i="11"/>
  <c r="L468" i="1" s="1"/>
  <c r="F11" i="14" l="1"/>
  <c r="H11" s="1"/>
  <c r="H41"/>
  <c r="L283" i="12"/>
  <c r="F12" i="14" s="1"/>
  <c r="H12" s="1"/>
  <c r="K17" i="11"/>
  <c r="H8" s="1"/>
  <c r="H10"/>
  <c r="F28" i="2"/>
  <c r="F20"/>
  <c r="F26"/>
  <c r="G30"/>
  <c r="F21"/>
  <c r="S13"/>
  <c r="F22"/>
  <c r="E22"/>
  <c r="E14"/>
  <c r="I14" s="1"/>
  <c r="H14" s="1"/>
  <c r="E20"/>
  <c r="E15"/>
  <c r="I15" s="1"/>
  <c r="H15" s="1"/>
  <c r="E21"/>
  <c r="F14"/>
  <c r="I391" i="1"/>
  <c r="C344"/>
  <c r="J344"/>
  <c r="M344" s="1"/>
  <c r="F344"/>
  <c r="H452"/>
  <c r="I407"/>
  <c r="H425"/>
  <c r="H438"/>
  <c r="I8"/>
  <c r="M247"/>
  <c r="M165"/>
  <c r="M248"/>
  <c r="C248"/>
  <c r="C859" s="1"/>
  <c r="C247"/>
  <c r="M123"/>
  <c r="C858" l="1"/>
  <c r="J903" s="1"/>
  <c r="F882"/>
  <c r="H908"/>
  <c r="K898"/>
  <c r="J881"/>
  <c r="E898"/>
  <c r="I57" i="14"/>
  <c r="I55"/>
  <c r="I53"/>
  <c r="I51"/>
  <c r="I49"/>
  <c r="I47"/>
  <c r="I45"/>
  <c r="I43"/>
  <c r="I58"/>
  <c r="I56"/>
  <c r="I54"/>
  <c r="I52"/>
  <c r="I50"/>
  <c r="I48"/>
  <c r="I46"/>
  <c r="I44"/>
  <c r="L284" i="12"/>
  <c r="F13" i="14" s="1"/>
  <c r="H13" s="1"/>
  <c r="G34" i="2"/>
  <c r="B716" i="1" s="1"/>
  <c r="H715" s="1"/>
  <c r="F32" i="2"/>
  <c r="J32" s="1"/>
  <c r="D652" i="1"/>
  <c r="D648" s="1"/>
  <c r="J648" s="1"/>
  <c r="F636"/>
  <c r="C636" s="1"/>
  <c r="G32" i="2"/>
  <c r="J673" i="1"/>
  <c r="H26" i="2"/>
  <c r="N15"/>
  <c r="H16"/>
  <c r="Q15"/>
  <c r="P15"/>
  <c r="R15"/>
  <c r="F36"/>
  <c r="F34"/>
  <c r="I36"/>
  <c r="J707" i="1" s="1"/>
  <c r="J728" s="1"/>
  <c r="G38" i="2"/>
  <c r="F691" i="1" s="1"/>
  <c r="C691" s="1"/>
  <c r="Q14" i="2"/>
  <c r="P14"/>
  <c r="J26"/>
  <c r="F30"/>
  <c r="J30" s="1"/>
  <c r="J28"/>
  <c r="M14"/>
  <c r="L14"/>
  <c r="O14"/>
  <c r="N14"/>
  <c r="H18"/>
  <c r="I18" s="1"/>
  <c r="H22"/>
  <c r="G22"/>
  <c r="I22" s="1"/>
  <c r="H21"/>
  <c r="G21"/>
  <c r="I21" s="1"/>
  <c r="G20"/>
  <c r="I20" s="1"/>
  <c r="H20"/>
  <c r="E365" i="1"/>
  <c r="K364" s="1"/>
  <c r="B363"/>
  <c r="L259"/>
  <c r="N281"/>
  <c r="E252"/>
  <c r="I305"/>
  <c r="J252"/>
  <c r="C292"/>
  <c r="M292"/>
  <c r="D259"/>
  <c r="G304"/>
  <c r="B281"/>
  <c r="H249"/>
  <c r="M269"/>
  <c r="D300"/>
  <c r="C269"/>
  <c r="L301"/>
  <c r="I263"/>
  <c r="G290"/>
  <c r="K270"/>
  <c r="K276"/>
  <c r="H263"/>
  <c r="F287"/>
  <c r="E270"/>
  <c r="E276"/>
  <c r="I290"/>
  <c r="J287"/>
  <c r="K282"/>
  <c r="H292"/>
  <c r="E282"/>
  <c r="J265"/>
  <c r="F266"/>
  <c r="G906" l="1"/>
  <c r="K886"/>
  <c r="H879"/>
  <c r="C863" s="1"/>
  <c r="C922" s="1"/>
  <c r="F903"/>
  <c r="E892"/>
  <c r="I879"/>
  <c r="I906"/>
  <c r="K892"/>
  <c r="E886"/>
  <c r="O16" i="2"/>
  <c r="L16"/>
  <c r="M16"/>
  <c r="N282" i="12"/>
  <c r="D707" i="1"/>
  <c r="J34" i="2"/>
  <c r="G40"/>
  <c r="I689" i="1"/>
  <c r="L689" s="1"/>
  <c r="I634"/>
  <c r="L634" s="1"/>
  <c r="D673"/>
  <c r="J33" i="2"/>
  <c r="G741" i="1" s="1"/>
  <c r="I741" s="1"/>
  <c r="M741" s="1"/>
  <c r="G363"/>
  <c r="E347" s="1"/>
  <c r="N345" s="1"/>
  <c r="M15" i="2"/>
  <c r="L15"/>
  <c r="O15"/>
  <c r="N16"/>
  <c r="H398" i="1"/>
  <c r="Q21" i="2"/>
  <c r="P21"/>
  <c r="Q18"/>
  <c r="P18"/>
  <c r="J29"/>
  <c r="O22"/>
  <c r="N22"/>
  <c r="M22"/>
  <c r="L22"/>
  <c r="Q16"/>
  <c r="P16"/>
  <c r="Q20"/>
  <c r="P20"/>
  <c r="M20"/>
  <c r="L20"/>
  <c r="O20"/>
  <c r="N20"/>
  <c r="Q22"/>
  <c r="P22"/>
  <c r="F38"/>
  <c r="J38" s="1"/>
  <c r="H34"/>
  <c r="F40"/>
  <c r="J40" s="1"/>
  <c r="N21"/>
  <c r="M21"/>
  <c r="L21"/>
  <c r="O21"/>
  <c r="O18"/>
  <c r="N18"/>
  <c r="M18"/>
  <c r="L18"/>
  <c r="I34"/>
  <c r="G36"/>
  <c r="J36" s="1"/>
  <c r="H388" i="1"/>
  <c r="H431"/>
  <c r="H414"/>
  <c r="D363"/>
  <c r="H435"/>
  <c r="H457"/>
  <c r="H449"/>
  <c r="H444"/>
  <c r="H404"/>
  <c r="H422"/>
  <c r="M895" l="1"/>
  <c r="B895" s="1"/>
  <c r="F863"/>
  <c r="F922" s="1"/>
  <c r="D864"/>
  <c r="D921" s="1"/>
  <c r="M868"/>
  <c r="B868" s="1"/>
  <c r="M858"/>
  <c r="K914" s="1"/>
  <c r="M914"/>
  <c r="B914" s="1"/>
  <c r="M875"/>
  <c r="B875" s="1"/>
  <c r="M906"/>
  <c r="B906" s="1"/>
  <c r="M859"/>
  <c r="L906" s="1"/>
  <c r="D863"/>
  <c r="D922" s="1"/>
  <c r="M918"/>
  <c r="E863"/>
  <c r="E922" s="1"/>
  <c r="C864"/>
  <c r="C921" s="1"/>
  <c r="H863"/>
  <c r="H922" s="1"/>
  <c r="M885"/>
  <c r="B885" s="1"/>
  <c r="K863"/>
  <c r="K922" s="1"/>
  <c r="M864"/>
  <c r="M921" s="1"/>
  <c r="I740"/>
  <c r="G740" s="1"/>
  <c r="M740" s="1"/>
  <c r="N283" i="12"/>
  <c r="J12" i="14" s="1"/>
  <c r="L12" s="1"/>
  <c r="M41"/>
  <c r="J11"/>
  <c r="L11" s="1"/>
  <c r="G745" i="1"/>
  <c r="I745" s="1"/>
  <c r="M745" s="1"/>
  <c r="G738"/>
  <c r="I738" s="1"/>
  <c r="M738" s="1"/>
  <c r="D703"/>
  <c r="J703" s="1"/>
  <c r="G735"/>
  <c r="G744"/>
  <c r="M744" s="1"/>
  <c r="G742"/>
  <c r="M742" s="1"/>
  <c r="I743"/>
  <c r="M743" s="1"/>
  <c r="D728"/>
  <c r="J37" i="2"/>
  <c r="I715" i="1"/>
  <c r="N431"/>
  <c r="B431" s="1"/>
  <c r="B388"/>
  <c r="N388" s="1"/>
  <c r="N23" i="2"/>
  <c r="L23"/>
  <c r="E471" i="1" s="1"/>
  <c r="M23" i="2"/>
  <c r="P23"/>
  <c r="J41"/>
  <c r="O23"/>
  <c r="Q23"/>
  <c r="C457" i="1"/>
  <c r="M457" s="1"/>
  <c r="N363"/>
  <c r="L363" s="1"/>
  <c r="B346"/>
  <c r="K348" s="1"/>
  <c r="I363" s="1"/>
  <c r="N443"/>
  <c r="B443" s="1"/>
  <c r="I506" l="1"/>
  <c r="M506" s="1"/>
  <c r="I505"/>
  <c r="M505" s="1"/>
  <c r="M896"/>
  <c r="D875"/>
  <c r="J868"/>
  <c r="M884"/>
  <c r="H865"/>
  <c r="E868"/>
  <c r="J863"/>
  <c r="J922" s="1"/>
  <c r="L875"/>
  <c r="G918"/>
  <c r="C884"/>
  <c r="I919"/>
  <c r="L863"/>
  <c r="L922" s="1"/>
  <c r="I863"/>
  <c r="I922" s="1"/>
  <c r="D914"/>
  <c r="D906"/>
  <c r="C896"/>
  <c r="M863"/>
  <c r="M922" s="1"/>
  <c r="L864"/>
  <c r="L921" s="1"/>
  <c r="I735"/>
  <c r="M735"/>
  <c r="N284" i="12"/>
  <c r="J13" i="14" s="1"/>
  <c r="L13" s="1"/>
  <c r="B14" s="1"/>
  <c r="D14" s="1"/>
  <c r="H14" s="1"/>
  <c r="AC62" i="12" s="1"/>
  <c r="J791" i="1" s="1"/>
  <c r="E936" s="1"/>
  <c r="L52" i="14"/>
  <c r="L44"/>
  <c r="L51"/>
  <c r="L43"/>
  <c r="L55"/>
  <c r="L54"/>
  <c r="L46"/>
  <c r="L53"/>
  <c r="L45"/>
  <c r="L47"/>
  <c r="L58"/>
  <c r="L50"/>
  <c r="L57"/>
  <c r="L49"/>
  <c r="L56"/>
  <c r="L48"/>
  <c r="G737" i="1"/>
  <c r="I737" s="1"/>
  <c r="M737" s="1"/>
  <c r="G739"/>
  <c r="I739" s="1"/>
  <c r="M739" s="1"/>
  <c r="I744"/>
  <c r="G736"/>
  <c r="I504" s="1"/>
  <c r="M504" s="1"/>
  <c r="I742"/>
  <c r="G743"/>
  <c r="I471"/>
  <c r="L478" s="1"/>
  <c r="Q24" i="2"/>
  <c r="Q25"/>
  <c r="N24"/>
  <c r="G501" i="1"/>
  <c r="N25" i="2"/>
  <c r="I501" i="1" s="1"/>
  <c r="M501" s="1"/>
  <c r="P24" i="2"/>
  <c r="G500" i="1"/>
  <c r="P25" i="2"/>
  <c r="I500" i="1" s="1"/>
  <c r="M500" s="1"/>
  <c r="O24" i="2"/>
  <c r="O25"/>
  <c r="F936" i="1" l="1"/>
  <c r="L936" s="1"/>
  <c r="E939"/>
  <c r="E937"/>
  <c r="F937" s="1"/>
  <c r="L937" s="1"/>
  <c r="G938"/>
  <c r="F31" i="14"/>
  <c r="N285" i="12"/>
  <c r="I736" i="1"/>
  <c r="M736"/>
  <c r="M746" s="1"/>
  <c r="G503"/>
  <c r="I503" s="1"/>
  <c r="M503" s="1"/>
  <c r="G502"/>
  <c r="I502" s="1"/>
  <c r="M502" s="1"/>
  <c r="G939" l="1"/>
  <c r="L939" s="1"/>
  <c r="F939"/>
  <c r="F938"/>
  <c r="L938"/>
  <c r="AG63" i="12"/>
  <c r="N295"/>
  <c r="M507" i="1"/>
  <c r="L1126" l="1"/>
  <c r="M811" s="1"/>
  <c r="L945"/>
  <c r="L1122" s="1"/>
  <c r="N296" i="12"/>
  <c r="M1124" i="1" l="1"/>
  <c r="G1128" s="1"/>
  <c r="M14"/>
  <c r="M15" s="1"/>
  <c r="N297" i="12"/>
  <c r="N298" l="1"/>
  <c r="N299" l="1"/>
  <c r="N300" l="1"/>
  <c r="N301" l="1"/>
  <c r="N302" l="1"/>
  <c r="N303" l="1"/>
  <c r="N304" l="1"/>
  <c r="N305" l="1"/>
  <c r="N306" l="1"/>
  <c r="N307" l="1"/>
  <c r="N308" l="1"/>
  <c r="N309" l="1"/>
  <c r="N310" l="1"/>
  <c r="N311" l="1"/>
  <c r="K41" i="14" s="1"/>
  <c r="K56" s="1"/>
  <c r="N312" i="12" l="1"/>
  <c r="N313" l="1"/>
  <c r="N314" l="1"/>
  <c r="N315" l="1"/>
  <c r="F41" i="14" s="1"/>
  <c r="N316" i="12" l="1"/>
  <c r="G57" i="14"/>
  <c r="G55"/>
  <c r="G53"/>
  <c r="G51"/>
  <c r="G49"/>
  <c r="G47"/>
  <c r="G45"/>
  <c r="G43"/>
  <c r="G58"/>
  <c r="G56"/>
  <c r="G54"/>
  <c r="G52"/>
  <c r="G50"/>
  <c r="G48"/>
  <c r="G46"/>
  <c r="G44"/>
  <c r="N317" i="12" l="1"/>
  <c r="N318" l="1"/>
  <c r="N319" l="1"/>
  <c r="N320" l="1"/>
  <c r="N321" l="1"/>
  <c r="N322" l="1"/>
  <c r="N323" l="1"/>
  <c r="I137" l="1"/>
  <c r="N324"/>
  <c r="J41" i="14" s="1"/>
  <c r="I138" i="12" l="1"/>
  <c r="N325"/>
  <c r="K58" i="14"/>
  <c r="M58" s="1"/>
  <c r="K54"/>
  <c r="M54" s="1"/>
  <c r="K52"/>
  <c r="K50"/>
  <c r="M50" s="1"/>
  <c r="K48"/>
  <c r="M48" s="1"/>
  <c r="K46"/>
  <c r="M46" s="1"/>
  <c r="K44"/>
  <c r="M44" s="1"/>
  <c r="K57"/>
  <c r="K55"/>
  <c r="M55" s="1"/>
  <c r="K53"/>
  <c r="K51"/>
  <c r="M51" s="1"/>
  <c r="K49"/>
  <c r="K47"/>
  <c r="M47" s="1"/>
  <c r="K45"/>
  <c r="M45" s="1"/>
  <c r="K43"/>
  <c r="I139" i="12" l="1"/>
  <c r="N326"/>
  <c r="M59" i="14"/>
  <c r="I140" i="12" l="1"/>
  <c r="N327"/>
  <c r="O58" i="14"/>
  <c r="N58" s="1"/>
  <c r="O56"/>
  <c r="N56" s="1"/>
  <c r="O54"/>
  <c r="N54" s="1"/>
  <c r="O52"/>
  <c r="N52" s="1"/>
  <c r="O50"/>
  <c r="N50" s="1"/>
  <c r="O48"/>
  <c r="N48" s="1"/>
  <c r="O46"/>
  <c r="N46" s="1"/>
  <c r="O44"/>
  <c r="N44" s="1"/>
  <c r="O57"/>
  <c r="N57" s="1"/>
  <c r="O55"/>
  <c r="N55" s="1"/>
  <c r="O53"/>
  <c r="N53" s="1"/>
  <c r="O51"/>
  <c r="N51" s="1"/>
  <c r="O49"/>
  <c r="N49" s="1"/>
  <c r="O47"/>
  <c r="N47" s="1"/>
  <c r="O45"/>
  <c r="N45" s="1"/>
  <c r="O43"/>
  <c r="N43" s="1"/>
  <c r="P53" l="1"/>
  <c r="Q53" s="1"/>
  <c r="P46"/>
  <c r="Q46" s="1"/>
  <c r="P54"/>
  <c r="Q54" s="1"/>
  <c r="I141" i="12"/>
  <c r="N328"/>
  <c r="P43" i="14"/>
  <c r="Q43" s="1"/>
  <c r="P44"/>
  <c r="Q44" s="1"/>
  <c r="P52"/>
  <c r="Q52" s="1"/>
  <c r="P45"/>
  <c r="Q45" s="1"/>
  <c r="P49"/>
  <c r="Q49" s="1"/>
  <c r="P57"/>
  <c r="Q57" s="1"/>
  <c r="P50"/>
  <c r="Q50" s="1"/>
  <c r="P58"/>
  <c r="Q58" s="1"/>
  <c r="P51"/>
  <c r="Q51" s="1"/>
  <c r="P47"/>
  <c r="Q47" s="1"/>
  <c r="P55"/>
  <c r="Q55" s="1"/>
  <c r="P48"/>
  <c r="Q48" s="1"/>
  <c r="P56"/>
  <c r="Q56" s="1"/>
  <c r="Q59" l="1"/>
  <c r="R59" s="1"/>
  <c r="S59" s="1"/>
  <c r="T59" s="1"/>
  <c r="I142" i="12"/>
  <c r="N329"/>
  <c r="N330" l="1"/>
  <c r="I143"/>
  <c r="I144" l="1"/>
  <c r="N331"/>
  <c r="H332" l="1"/>
  <c r="I145"/>
  <c r="I146" l="1"/>
  <c r="H333"/>
  <c r="H334" l="1"/>
  <c r="I147"/>
  <c r="C67" s="1"/>
  <c r="C68" s="1"/>
  <c r="C69" s="1"/>
  <c r="C70" s="1"/>
  <c r="C71" s="1"/>
  <c r="C72" s="1"/>
  <c r="C73" s="1"/>
  <c r="C74" s="1"/>
  <c r="C75" s="1"/>
  <c r="J332" l="1"/>
  <c r="J333" l="1"/>
  <c r="J334" l="1"/>
  <c r="L332" l="1"/>
  <c r="L333" l="1"/>
  <c r="L334" l="1"/>
  <c r="N332" l="1"/>
  <c r="N333" l="1"/>
  <c r="N334" l="1"/>
  <c r="N335"/>
</calcChain>
</file>

<file path=xl/comments1.xml><?xml version="1.0" encoding="utf-8"?>
<comments xmlns="http://schemas.openxmlformats.org/spreadsheetml/2006/main">
  <authors>
    <author>Роман</author>
  </authors>
  <commentList>
    <comment ref="B8" authorId="0">
      <text>
        <r>
          <rPr>
            <b/>
            <sz val="9"/>
            <color indexed="81"/>
            <rFont val="Tahoma"/>
            <family val="2"/>
            <charset val="204"/>
          </rPr>
          <t>Роман:
Обратите внимание! 
  1. Это поле вовсе не обязательно заполнять. Оно на случай, если у Вас, уже открыт калькулятор асидом, и Вы не хотите вбивать одни и те же данные дважды!
  2. Заполненное поле, в виде ссылки, обладает повышенным приоритетом, касательно ввода данных. Большая часть размеров будет взята с этой ссылки! И такие данные, как часть сферы, диаметр трубы, радиус сферы, ширина и толщина доски, введённые в поле ниже, не будут участвовать в просчёте!
  3. Если захотите изменить параметры, ссылку нужно полностью удалить - очистить поле.
  4. Калькулятор поддерживает только вид соединения "Piped". Поэтому, даже если Вы внесёте ссылку на другой вид соединения, калькулятор будет рассчитывать его как "Piped"</t>
        </r>
      </text>
    </comment>
    <comment ref="I8" authorId="0">
      <text>
        <r>
          <rPr>
            <b/>
            <sz val="9"/>
            <color indexed="81"/>
            <rFont val="Tahoma"/>
            <family val="2"/>
            <charset val="204"/>
          </rPr>
          <t>Роман:
Эта ссылка - результат введённых Вами данных.. Если по ней клацнуть, Вы перейдёте, к такой же модельке, в калькуляторе асидом. Точней, к такому же каркасу купола. Где можете созерцать его, во всей своей красе, со всех сторон. Да сопоставлять размеры, если возникли сомнения.</t>
        </r>
      </text>
    </comment>
    <comment ref="K1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Радиус </t>
        </r>
        <r>
          <rPr>
            <sz val="18"/>
            <color indexed="81"/>
            <rFont val="Tahoma"/>
            <family val="2"/>
            <charset val="204"/>
          </rPr>
          <t>каркаса</t>
        </r>
        <r>
          <rPr>
            <sz val="9"/>
            <color indexed="81"/>
            <rFont val="Tahoma"/>
            <family val="2"/>
            <charset val="204"/>
          </rPr>
          <t xml:space="preserve"> сферы!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Роман Продайко:</t>
        </r>
        <r>
          <rPr>
            <sz val="9"/>
            <color indexed="81"/>
            <rFont val="Tahoma"/>
            <family val="2"/>
            <charset val="204"/>
          </rPr>
          <t xml:space="preserve">
Рекомендую использовать 50х50мм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 xml:space="preserve">ЖМИ - это ссылка. </t>
        </r>
      </text>
    </comment>
    <comment ref="G1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0"/>
            <color indexed="81"/>
            <rFont val="Tahoma"/>
            <family val="2"/>
            <charset val="204"/>
          </rPr>
          <t>Диаметр трубы</t>
        </r>
      </text>
    </comment>
    <comment ref="H1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>толщина стенки трубы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Ширина доски</t>
        </r>
      </text>
    </comment>
    <comment ref="G2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2"/>
            <color indexed="81"/>
            <rFont val="Tahoma"/>
            <family val="2"/>
            <charset val="204"/>
          </rPr>
          <t>толщина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6"/>
            <color indexed="81"/>
            <rFont val="Tahoma"/>
            <family val="2"/>
            <charset val="204"/>
          </rPr>
          <t>Толщина</t>
        </r>
      </text>
    </comment>
    <comment ref="G2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8"/>
            <color indexed="81"/>
            <rFont val="Tahoma"/>
            <family val="2"/>
            <charset val="204"/>
          </rPr>
          <t>Ширина</t>
        </r>
      </text>
    </comment>
    <comment ref="G31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Толщина листа ОСП или толщина фагонки</t>
        </r>
      </text>
    </comment>
    <comment ref="E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0"/>
            <color indexed="81"/>
            <rFont val="Tahoma"/>
            <family val="2"/>
            <charset val="204"/>
          </rPr>
          <t>толщина</t>
        </r>
      </text>
    </comment>
    <comment ref="G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ширина=толщине доски ребра</t>
        </r>
      </text>
    </comment>
    <comment ref="E44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20"/>
            <color indexed="81"/>
            <rFont val="Tahoma"/>
            <family val="2"/>
            <charset val="204"/>
          </rPr>
          <t>толщина</t>
        </r>
      </text>
    </comment>
    <comment ref="E79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равен толщине контррейки</t>
        </r>
      </text>
    </comment>
    <comment ref="B738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 С шагом 200мм
</t>
        </r>
      </text>
    </comment>
    <comment ref="B739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Шаг 200мм</t>
        </r>
      </text>
    </comment>
    <comment ref="B7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Жми на название - это ссылка на описание!</t>
        </r>
      </text>
    </comment>
    <comment ref="B74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Подкладочный ковер ANDEREP ULTRA</t>
        </r>
      </text>
    </comment>
    <comment ref="B74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Лучше всего подходит не симметричный рисунок! Такой как: Битумная черепица SHINGLAS: "КАНТРИ", "ДЖАЗ" "РАНЧО" и т.п.</t>
        </r>
      </text>
    </comment>
    <comment ref="E747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ТИСЭ!</t>
        </r>
      </text>
    </comment>
    <comment ref="K811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С коэффициаентом 1,5 !! Без учёта веса снега и мебели!</t>
        </r>
      </text>
    </comment>
    <comment ref="M813" authorId="0">
      <text>
        <r>
          <rPr>
            <b/>
            <sz val="9"/>
            <color indexed="81"/>
            <rFont val="Tahoma"/>
            <family val="2"/>
            <charset val="204"/>
          </rPr>
          <t>Роман: 
Ещё только 
планируется сделать расчёт.</t>
        </r>
      </text>
    </comment>
    <comment ref="J936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одну тонну</t>
        </r>
      </text>
    </comment>
    <comment ref="J937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одну тонну</t>
        </r>
      </text>
    </comment>
    <comment ref="J938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м.куб.</t>
        </r>
      </text>
    </comment>
    <comment ref="J939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стоимость за один рулон
</t>
        </r>
      </text>
    </comment>
    <comment ref="J940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трубы за 1 тонну</t>
        </r>
      </text>
    </comment>
    <comment ref="J941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стоимость одного уголка
</t>
        </r>
      </text>
    </comment>
    <comment ref="J942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стоимость за одну штуку</t>
        </r>
      </text>
    </comment>
    <comment ref="J943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цена за штуку</t>
        </r>
      </text>
    </comment>
    <comment ref="B1114" authorId="0">
      <text>
        <r>
          <rPr>
            <b/>
            <sz val="9"/>
            <color indexed="81"/>
            <rFont val="Tahoma"/>
            <family val="2"/>
            <charset val="204"/>
          </rPr>
          <t>Роман:</t>
        </r>
        <r>
          <rPr>
            <sz val="9"/>
            <color indexed="81"/>
            <rFont val="Tahoma"/>
            <family val="2"/>
            <charset val="204"/>
          </rPr>
          <t xml:space="preserve">
Или альтернатива
(жми туда, это ссылка)</t>
        </r>
      </text>
    </comment>
  </commentList>
</comments>
</file>

<file path=xl/connections.xml><?xml version="1.0" encoding="utf-8"?>
<connections xmlns="http://schemas.openxmlformats.org/spreadsheetml/2006/main">
  <connection id="1" name="Подключение" type="4" refreshedVersion="3" refreshOnLoad="1" saveData="1">
    <webPr sourceData="1" parsePre="1" consecutive="1" xl2000="1" url="https://news.yandex.ru/quotes/1.html"/>
  </connection>
  <connection id="2" name="Подключение1" type="4" refreshedVersion="3" refreshOnLoad="1" saveData="1">
    <webPr sourceData="1" parsePre="1" consecutive="1" xl2000="1" url="https://news.yandex.ua/quotes/3005.html?lang=ru"/>
  </connection>
</connections>
</file>

<file path=xl/sharedStrings.xml><?xml version="1.0" encoding="utf-8"?>
<sst xmlns="http://schemas.openxmlformats.org/spreadsheetml/2006/main" count="8566" uniqueCount="2979">
  <si>
    <t>Вес, кг шт.</t>
  </si>
  <si>
    <t>частота/часть</t>
  </si>
  <si>
    <t>болт м12х70</t>
  </si>
  <si>
    <t>болт м12х150</t>
  </si>
  <si>
    <t>Гайка м12</t>
  </si>
  <si>
    <t>Шайба м12</t>
  </si>
  <si>
    <t>Выберите набор</t>
  </si>
  <si>
    <t>узлов</t>
  </si>
  <si>
    <t>"СОКОЛ"</t>
  </si>
  <si>
    <t xml:space="preserve"> </t>
  </si>
  <si>
    <t>"КЛЕШНЯ_ПАРТИЗАН"</t>
  </si>
  <si>
    <t>Выберите тип узла</t>
  </si>
  <si>
    <t xml:space="preserve">Калькулятор считает количество и стоимость болтов, гаек и шайб, относительно частоты и части сферы купола. </t>
  </si>
  <si>
    <t>метров</t>
  </si>
  <si>
    <t>Высота юбки</t>
  </si>
  <si>
    <t>"СВАРНОЙ"</t>
  </si>
  <si>
    <t>3 частота; 7/12части</t>
  </si>
  <si>
    <t>3 частота; 5/12части</t>
  </si>
  <si>
    <t>мм.</t>
  </si>
  <si>
    <t>Юбка</t>
  </si>
  <si>
    <t>Тип ребра</t>
  </si>
  <si>
    <t>Цвет</t>
  </si>
  <si>
    <t>Радиус ядра</t>
  </si>
  <si>
    <t>жёлтый</t>
  </si>
  <si>
    <t>красный</t>
  </si>
  <si>
    <t>"СОКОЛ усиленный"</t>
  </si>
  <si>
    <t>оранжевый</t>
  </si>
  <si>
    <t>бордовый</t>
  </si>
  <si>
    <t>Длина Д</t>
  </si>
  <si>
    <t>Длина К</t>
  </si>
  <si>
    <t>Сторона Д</t>
  </si>
  <si>
    <t>Сторона К</t>
  </si>
  <si>
    <t>Купол</t>
  </si>
  <si>
    <t>зелёный</t>
  </si>
  <si>
    <t>Обшивка юбка</t>
  </si>
  <si>
    <t>Обшивка купол</t>
  </si>
  <si>
    <t>коэффи</t>
  </si>
  <si>
    <t>ж купол</t>
  </si>
  <si>
    <t>ж юбка</t>
  </si>
  <si>
    <t>ор. Юбка</t>
  </si>
  <si>
    <t>кр купол</t>
  </si>
  <si>
    <t>Кр.юбка</t>
  </si>
  <si>
    <t>бордовый.. Юбка</t>
  </si>
  <si>
    <t>жёл реб</t>
  </si>
  <si>
    <t>Зел реб</t>
  </si>
  <si>
    <t>Обшивка купола</t>
  </si>
  <si>
    <t>внутри обшивка</t>
  </si>
  <si>
    <t>снаружи обшивка</t>
  </si>
  <si>
    <t>внутренний радиус</t>
  </si>
  <si>
    <t>7/12ч</t>
  </si>
  <si>
    <t>5/12ч</t>
  </si>
  <si>
    <t>объём контррейки  внутри</t>
  </si>
  <si>
    <t>узлы</t>
  </si>
  <si>
    <t>цена более 500кг</t>
  </si>
  <si>
    <t>цена более 200кг</t>
  </si>
  <si>
    <t>цена менее 200кг</t>
  </si>
  <si>
    <t>цена менее 100кг</t>
  </si>
  <si>
    <t>ё</t>
  </si>
  <si>
    <t>Комплект</t>
  </si>
  <si>
    <t>Тип узла</t>
  </si>
  <si>
    <t>Вы выбрали город:</t>
  </si>
  <si>
    <t>Был выбран комплект:</t>
  </si>
  <si>
    <t>Стоимость одной скобы</t>
  </si>
  <si>
    <t>Доставка до гор.</t>
  </si>
  <si>
    <t>Количество узлов:</t>
  </si>
  <si>
    <t>штук</t>
  </si>
  <si>
    <t>Масса груза:</t>
  </si>
  <si>
    <t>кг.</t>
  </si>
  <si>
    <t>Стоимость проставок</t>
  </si>
  <si>
    <t>Количество ящиков:</t>
  </si>
  <si>
    <t>ящиков</t>
  </si>
  <si>
    <t>Стоимость одного ящика</t>
  </si>
  <si>
    <t>м.куб.</t>
  </si>
  <si>
    <t>Вячеславу</t>
  </si>
  <si>
    <t>Курс долляра</t>
  </si>
  <si>
    <t>Вячеславу в долярах</t>
  </si>
  <si>
    <t>Доляров</t>
  </si>
  <si>
    <t>Стоимость узла в долярах</t>
  </si>
  <si>
    <t>Стоимость комплекта</t>
  </si>
  <si>
    <t>доляров</t>
  </si>
  <si>
    <t>Стоимость для заказчика</t>
  </si>
  <si>
    <t>Предоплата</t>
  </si>
  <si>
    <t>Разница(мои)</t>
  </si>
  <si>
    <t>Остаток стоимости</t>
  </si>
  <si>
    <t>Предоплата Вячеславу</t>
  </si>
  <si>
    <t>Предоплата общая</t>
  </si>
  <si>
    <t>Количество скоб</t>
  </si>
  <si>
    <t>Остаток Вячеславу</t>
  </si>
  <si>
    <t>Количество труб</t>
  </si>
  <si>
    <t>вес раздельно</t>
  </si>
  <si>
    <t>шт</t>
  </si>
  <si>
    <t>кг</t>
  </si>
  <si>
    <t>труба</t>
  </si>
  <si>
    <t>скоба</t>
  </si>
  <si>
    <t>общ.вес</t>
  </si>
  <si>
    <t>штук скоб</t>
  </si>
  <si>
    <t>ящ.скоб</t>
  </si>
  <si>
    <t>ящ.труб</t>
  </si>
  <si>
    <t>кол. Ящ</t>
  </si>
  <si>
    <t>округ ящ</t>
  </si>
  <si>
    <t>проставка штук</t>
  </si>
  <si>
    <t>руб комп.</t>
  </si>
  <si>
    <t>грн комп.</t>
  </si>
  <si>
    <t>скобы 2</t>
  </si>
  <si>
    <t>Тип сокола</t>
  </si>
  <si>
    <t>вес простаок</t>
  </si>
  <si>
    <t>для "Ярдома"</t>
  </si>
  <si>
    <t xml:space="preserve">Обычный </t>
  </si>
  <si>
    <t>для 4 частоты 5/8 части</t>
  </si>
  <si>
    <t>Усиленный</t>
  </si>
  <si>
    <t>для 4 частоты 1/2 части</t>
  </si>
  <si>
    <t>для 4 частоты 3/8 части</t>
  </si>
  <si>
    <t>для 3 частоты 7/12 части</t>
  </si>
  <si>
    <t>для 3 частоты 5/12 части</t>
  </si>
  <si>
    <t>для "Купольного модуля"</t>
  </si>
  <si>
    <t>индекс стоимости</t>
  </si>
  <si>
    <t>Действительно с 26.01.2015 г.</t>
  </si>
  <si>
    <t xml:space="preserve"> ИНТАЙМ Украина</t>
  </si>
  <si>
    <t>Цены на доставку грузов и почтовых отправлений из г. Новокузнецк (Кемеровская обл.)</t>
  </si>
  <si>
    <t>город</t>
  </si>
  <si>
    <t>вес</t>
  </si>
  <si>
    <t>вес/кг</t>
  </si>
  <si>
    <t>объем/м3</t>
  </si>
  <si>
    <t>www.rateksib.ru</t>
  </si>
  <si>
    <t>минимум</t>
  </si>
  <si>
    <t>До 1 кг</t>
  </si>
  <si>
    <t>до 5 кг</t>
  </si>
  <si>
    <t>до 10 кг</t>
  </si>
  <si>
    <t>до 20 кг</t>
  </si>
  <si>
    <t>до 40 кг</t>
  </si>
  <si>
    <t>до 50</t>
  </si>
  <si>
    <t>до 100</t>
  </si>
  <si>
    <t>до 0,6</t>
  </si>
  <si>
    <t>0,6</t>
  </si>
  <si>
    <t>Абакан</t>
  </si>
  <si>
    <t>Актау</t>
  </si>
  <si>
    <t>Актобе</t>
  </si>
  <si>
    <t>Алматы</t>
  </si>
  <si>
    <t>Ангарск</t>
  </si>
  <si>
    <t>Архангельск</t>
  </si>
  <si>
    <t>Доставка до клиента бесплатно *</t>
  </si>
  <si>
    <t>Астана</t>
  </si>
  <si>
    <t>Астрахань</t>
  </si>
  <si>
    <t>Атаманово</t>
  </si>
  <si>
    <t>Атырау</t>
  </si>
  <si>
    <t>Ачинск</t>
  </si>
  <si>
    <t>Барнаул</t>
  </si>
  <si>
    <t>Березники</t>
  </si>
  <si>
    <t>Бийск</t>
  </si>
  <si>
    <t>Благовещенск</t>
  </si>
  <si>
    <t>Братск</t>
  </si>
  <si>
    <t>Великие Луки</t>
  </si>
  <si>
    <t>Великий Новгород</t>
  </si>
  <si>
    <t>Владивосток</t>
  </si>
  <si>
    <t>Владимир</t>
  </si>
  <si>
    <t>Волгоград</t>
  </si>
  <si>
    <t>Вологда</t>
  </si>
  <si>
    <t>Воронеж</t>
  </si>
  <si>
    <t>Горно-Алтайск</t>
  </si>
  <si>
    <t>Екатеринбург</t>
  </si>
  <si>
    <t>Златоуст</t>
  </si>
  <si>
    <t>Иваново</t>
  </si>
  <si>
    <t>Ижевск</t>
  </si>
  <si>
    <t>Иркутск</t>
  </si>
  <si>
    <t>Ишим</t>
  </si>
  <si>
    <t>Йошкар-Ола</t>
  </si>
  <si>
    <t>Каз</t>
  </si>
  <si>
    <t>Казань</t>
  </si>
  <si>
    <t>Калининград</t>
  </si>
  <si>
    <t>Калтан</t>
  </si>
  <si>
    <t>Канск</t>
  </si>
  <si>
    <t>Караганда</t>
  </si>
  <si>
    <t>Кемерово</t>
  </si>
  <si>
    <t>Киров</t>
  </si>
  <si>
    <t>Кокшетау</t>
  </si>
  <si>
    <t>Комсомольск-на-Амуре</t>
  </si>
  <si>
    <t>Костанай</t>
  </si>
  <si>
    <t>Кострома</t>
  </si>
  <si>
    <t>Краснодар</t>
  </si>
  <si>
    <t>Красноярск</t>
  </si>
  <si>
    <t>Куйбышев</t>
  </si>
  <si>
    <t>Курган</t>
  </si>
  <si>
    <t>Кызыл</t>
  </si>
  <si>
    <t>Ленинск-Кузнецкий</t>
  </si>
  <si>
    <t>Ленск</t>
  </si>
  <si>
    <t>Липецк</t>
  </si>
  <si>
    <t>Магнитогорск</t>
  </si>
  <si>
    <t>Малиновка</t>
  </si>
  <si>
    <t>Мариинск</t>
  </si>
  <si>
    <t>Междуреченск</t>
  </si>
  <si>
    <t>Миасс</t>
  </si>
  <si>
    <t>Мирный</t>
  </si>
  <si>
    <t>Москва</t>
  </si>
  <si>
    <t>Мундыбаш</t>
  </si>
  <si>
    <t>Мурманск</t>
  </si>
  <si>
    <t>Набережные Челны</t>
  </si>
  <si>
    <t>Находка</t>
  </si>
  <si>
    <t>Нерюнгри</t>
  </si>
  <si>
    <t>Нижневартовск</t>
  </si>
  <si>
    <t>Нижний Новгород</t>
  </si>
  <si>
    <t>Нижний Тагил</t>
  </si>
  <si>
    <t>Новороссийск</t>
  </si>
  <si>
    <t>Новосибирск</t>
  </si>
  <si>
    <t>Ноябрьск</t>
  </si>
  <si>
    <t>Озерск</t>
  </si>
  <si>
    <t>Омск</t>
  </si>
  <si>
    <t>Оренбург</t>
  </si>
  <si>
    <t>Орск</t>
  </si>
  <si>
    <t>Осинники</t>
  </si>
  <si>
    <t>Павлодар</t>
  </si>
  <si>
    <t>Пенза</t>
  </si>
  <si>
    <t>Пермь</t>
  </si>
  <si>
    <t>Петрозаводск</t>
  </si>
  <si>
    <t>Петропавловск</t>
  </si>
  <si>
    <t>Прокопьевск</t>
  </si>
  <si>
    <t>Псков</t>
  </si>
  <si>
    <t>Ростов-на-Дону</t>
  </si>
  <si>
    <t>Рубцовск</t>
  </si>
  <si>
    <t>Рязань</t>
  </si>
  <si>
    <t>Самара</t>
  </si>
  <si>
    <t>Санкт-Петербург</t>
  </si>
  <si>
    <t>Саранск</t>
  </si>
  <si>
    <t>Саратов</t>
  </si>
  <si>
    <t>Сарбала</t>
  </si>
  <si>
    <t>Севастополь</t>
  </si>
  <si>
    <t>Симферополь</t>
  </si>
  <si>
    <t>Сковородино</t>
  </si>
  <si>
    <t>Славгород</t>
  </si>
  <si>
    <t>Спасск</t>
  </si>
  <si>
    <t>Ставрополь</t>
  </si>
  <si>
    <t>Стерлитамак</t>
  </si>
  <si>
    <t>Сургут</t>
  </si>
  <si>
    <t>Тальжино</t>
  </si>
  <si>
    <t>Таштагол</t>
  </si>
  <si>
    <t>Темиртау</t>
  </si>
  <si>
    <t>Тобольск</t>
  </si>
  <si>
    <t>Тольятти</t>
  </si>
  <si>
    <t>Томск</t>
  </si>
  <si>
    <t>Тында</t>
  </si>
  <si>
    <t>Тюмень</t>
  </si>
  <si>
    <t>Улан-Удэ</t>
  </si>
  <si>
    <t>Ульяновск</t>
  </si>
  <si>
    <t>Уральск</t>
  </si>
  <si>
    <t>Усть-Илимск</t>
  </si>
  <si>
    <t>Усть-Каменогорск</t>
  </si>
  <si>
    <t>Усть-Кут</t>
  </si>
  <si>
    <t>Уфа</t>
  </si>
  <si>
    <t>Хабаровск</t>
  </si>
  <si>
    <t>Ханты-Мансийск</t>
  </si>
  <si>
    <t>Чебоксары</t>
  </si>
  <si>
    <t>Челябинск</t>
  </si>
  <si>
    <t>Чита</t>
  </si>
  <si>
    <t>Шадринск</t>
  </si>
  <si>
    <t>Шерегеш</t>
  </si>
  <si>
    <t>Южно-Сахалинск</t>
  </si>
  <si>
    <t>Юрга</t>
  </si>
  <si>
    <t>Якутск</t>
  </si>
  <si>
    <t>Ярославль</t>
  </si>
  <si>
    <t>Авдеевка</t>
  </si>
  <si>
    <t xml:space="preserve">Акимовка </t>
  </si>
  <si>
    <t>Александрия</t>
  </si>
  <si>
    <t>Алушта</t>
  </si>
  <si>
    <t>Алчевск</t>
  </si>
  <si>
    <t>Амвросиевка</t>
  </si>
  <si>
    <t>Ананьев</t>
  </si>
  <si>
    <t>Антрацит</t>
  </si>
  <si>
    <t>Апостолово</t>
  </si>
  <si>
    <t>Армянск</t>
  </si>
  <si>
    <t>Артемовск</t>
  </si>
  <si>
    <t>Арциз</t>
  </si>
  <si>
    <t>Ахтырка</t>
  </si>
  <si>
    <t>Балта</t>
  </si>
  <si>
    <t>Бар</t>
  </si>
  <si>
    <t>Барановка</t>
  </si>
  <si>
    <t>Бахмач</t>
  </si>
  <si>
    <t>Бахчисарай</t>
  </si>
  <si>
    <t>Белая Церковь</t>
  </si>
  <si>
    <t>Белгород-Днестровский</t>
  </si>
  <si>
    <t>Белогорск</t>
  </si>
  <si>
    <t>Бердичев</t>
  </si>
  <si>
    <t>Бердянск</t>
  </si>
  <si>
    <t>Берегово</t>
  </si>
  <si>
    <t>Берегомет</t>
  </si>
  <si>
    <t>Бережаны</t>
  </si>
  <si>
    <t>Березань</t>
  </si>
  <si>
    <t>Березно</t>
  </si>
  <si>
    <t>Березовка</t>
  </si>
  <si>
    <t>Берислав</t>
  </si>
  <si>
    <t>Бершадь</t>
  </si>
  <si>
    <t>Бобринец</t>
  </si>
  <si>
    <t>Болград</t>
  </si>
  <si>
    <t>Болехов</t>
  </si>
  <si>
    <t>Борзна</t>
  </si>
  <si>
    <t>Борислав</t>
  </si>
  <si>
    <t>Борисполь</t>
  </si>
  <si>
    <t>Боярка</t>
  </si>
  <si>
    <t>Бровары</t>
  </si>
  <si>
    <t>Броды</t>
  </si>
  <si>
    <t>Брянка</t>
  </si>
  <si>
    <t>Буковель</t>
  </si>
  <si>
    <t>Бурштын</t>
  </si>
  <si>
    <t>Буск</t>
  </si>
  <si>
    <t>Буча</t>
  </si>
  <si>
    <t>Бучач</t>
  </si>
  <si>
    <t>Варва</t>
  </si>
  <si>
    <t>Васильевка</t>
  </si>
  <si>
    <t>Васильков</t>
  </si>
  <si>
    <t>Ватутино</t>
  </si>
  <si>
    <t>Великая Багачка</t>
  </si>
  <si>
    <t>Великие Сорочинцы</t>
  </si>
  <si>
    <t>Верхнеднепровск</t>
  </si>
  <si>
    <t>Верховцево</t>
  </si>
  <si>
    <t>Вижница</t>
  </si>
  <si>
    <t>Винница</t>
  </si>
  <si>
    <t>Виноградов</t>
  </si>
  <si>
    <t>Вишневое</t>
  </si>
  <si>
    <t>Владимир-Волынский</t>
  </si>
  <si>
    <t>Вознесенск</t>
  </si>
  <si>
    <t>Волноваха</t>
  </si>
  <si>
    <t>Волочиск</t>
  </si>
  <si>
    <t>Вольногорск</t>
  </si>
  <si>
    <t>Вольнянск</t>
  </si>
  <si>
    <t>Вышгород</t>
  </si>
  <si>
    <t>Гадяч</t>
  </si>
  <si>
    <t>Гайворон</t>
  </si>
  <si>
    <t>Гайсин</t>
  </si>
  <si>
    <t>Геническ</t>
  </si>
  <si>
    <t>Глухов</t>
  </si>
  <si>
    <t>Голая Пристань</t>
  </si>
  <si>
    <t>Голованевск</t>
  </si>
  <si>
    <t>Горловка</t>
  </si>
  <si>
    <t>Городище</t>
  </si>
  <si>
    <t>Горохов</t>
  </si>
  <si>
    <t>Гостомель</t>
  </si>
  <si>
    <t>Гуляйполе</t>
  </si>
  <si>
    <t>Дебальцево</t>
  </si>
  <si>
    <t>Джанкой</t>
  </si>
  <si>
    <t>Дзержинск</t>
  </si>
  <si>
    <t>Диканька</t>
  </si>
  <si>
    <t>Димитров</t>
  </si>
  <si>
    <t>Днепродзержинск</t>
  </si>
  <si>
    <t>Днепропетровск</t>
  </si>
  <si>
    <t>Днепрорудный</t>
  </si>
  <si>
    <t>Доброполье</t>
  </si>
  <si>
    <t>Докучаевск</t>
  </si>
  <si>
    <t>Долина</t>
  </si>
  <si>
    <t>Долинская</t>
  </si>
  <si>
    <t>Донецк</t>
  </si>
  <si>
    <t>Дрогобыч</t>
  </si>
  <si>
    <t>Дружковка</t>
  </si>
  <si>
    <t>Дубровица</t>
  </si>
  <si>
    <t>Дунаевцы</t>
  </si>
  <si>
    <t>Евпатория</t>
  </si>
  <si>
    <t>Енакиево</t>
  </si>
  <si>
    <t>Жашков</t>
  </si>
  <si>
    <t>Желтые Воды</t>
  </si>
  <si>
    <t>Жидачов</t>
  </si>
  <si>
    <t>Житомир</t>
  </si>
  <si>
    <t>Жмеринка</t>
  </si>
  <si>
    <t>Запорожье</t>
  </si>
  <si>
    <t>Звенигородка</t>
  </si>
  <si>
    <t>Зеленодольск</t>
  </si>
  <si>
    <t>Зеньков</t>
  </si>
  <si>
    <t>Змиёв</t>
  </si>
  <si>
    <t>Знаменка</t>
  </si>
  <si>
    <t>Золотоноша</t>
  </si>
  <si>
    <t>Золочев</t>
  </si>
  <si>
    <t>Ивано-Франковск</t>
  </si>
  <si>
    <t>Измаил</t>
  </si>
  <si>
    <t>Изюм</t>
  </si>
  <si>
    <t>Изяслав</t>
  </si>
  <si>
    <t>Иловайск</t>
  </si>
  <si>
    <t>Ильинцы</t>
  </si>
  <si>
    <t>Ильичевск</t>
  </si>
  <si>
    <t>Ирпень</t>
  </si>
  <si>
    <t>Иршава</t>
  </si>
  <si>
    <t>Ичня</t>
  </si>
  <si>
    <t>Кагарлык</t>
  </si>
  <si>
    <t>Казанка</t>
  </si>
  <si>
    <t>Казатин</t>
  </si>
  <si>
    <t>Каланчак</t>
  </si>
  <si>
    <t>Калуш</t>
  </si>
  <si>
    <t>Каменец-Подольский</t>
  </si>
  <si>
    <t>Каменка-Днепровская</t>
  </si>
  <si>
    <t>Канев</t>
  </si>
  <si>
    <t>Карловка</t>
  </si>
  <si>
    <t>Каховка</t>
  </si>
  <si>
    <t>Керчь</t>
  </si>
  <si>
    <t>Киев</t>
  </si>
  <si>
    <t>Килия</t>
  </si>
  <si>
    <t>Кировоград</t>
  </si>
  <si>
    <t>Кировское</t>
  </si>
  <si>
    <t>Кобеляки</t>
  </si>
  <si>
    <t>Ковель</t>
  </si>
  <si>
    <t>Коломыя</t>
  </si>
  <si>
    <t>Комсомольск</t>
  </si>
  <si>
    <t>Конотоп</t>
  </si>
  <si>
    <t>Константиновка</t>
  </si>
  <si>
    <t>Коростень</t>
  </si>
  <si>
    <t>Коростышев</t>
  </si>
  <si>
    <t>Корсунь-Шевченковский</t>
  </si>
  <si>
    <t>Корюковка</t>
  </si>
  <si>
    <t>Косов</t>
  </si>
  <si>
    <t>Костополь</t>
  </si>
  <si>
    <t>Котовск</t>
  </si>
  <si>
    <t>Краматорск</t>
  </si>
  <si>
    <t>Красилов</t>
  </si>
  <si>
    <t>Красноармейск</t>
  </si>
  <si>
    <t>Красноград</t>
  </si>
  <si>
    <t>Краснодон</t>
  </si>
  <si>
    <t>Красный Лиман</t>
  </si>
  <si>
    <t>Красный Луч</t>
  </si>
  <si>
    <t>Кременец</t>
  </si>
  <si>
    <t>Кременная</t>
  </si>
  <si>
    <t>Кременчуг</t>
  </si>
  <si>
    <t>Кривой Рог</t>
  </si>
  <si>
    <t>Крыжополь</t>
  </si>
  <si>
    <t>Кузнецовск</t>
  </si>
  <si>
    <t>Куйбышево</t>
  </si>
  <si>
    <t>Купянск</t>
  </si>
  <si>
    <t>Курахово</t>
  </si>
  <si>
    <t>Кучурган</t>
  </si>
  <si>
    <t>Ладыжин</t>
  </si>
  <si>
    <t>Лебедин</t>
  </si>
  <si>
    <t>Лисичанск</t>
  </si>
  <si>
    <t>Лозовая</t>
  </si>
  <si>
    <t>Лохвица</t>
  </si>
  <si>
    <t>Лубны</t>
  </si>
  <si>
    <t>Луганск</t>
  </si>
  <si>
    <t>Луцк</t>
  </si>
  <si>
    <t>Лысянка</t>
  </si>
  <si>
    <t>Львов</t>
  </si>
  <si>
    <t>Любомль</t>
  </si>
  <si>
    <t>Макаров</t>
  </si>
  <si>
    <t>Макеевка</t>
  </si>
  <si>
    <t>Малин</t>
  </si>
  <si>
    <t>Маневичи</t>
  </si>
  <si>
    <t>Марганец</t>
  </si>
  <si>
    <t>Мариуполь</t>
  </si>
  <si>
    <t>Марьинка</t>
  </si>
  <si>
    <t>Межгорье</t>
  </si>
  <si>
    <t>Мелитополь</t>
  </si>
  <si>
    <t>Мена</t>
  </si>
  <si>
    <t>Миргород</t>
  </si>
  <si>
    <t>Мироновка</t>
  </si>
  <si>
    <t>Михайловка</t>
  </si>
  <si>
    <t>Могилев-Подольский</t>
  </si>
  <si>
    <t>Монастырище</t>
  </si>
  <si>
    <t>Моршин</t>
  </si>
  <si>
    <t>Мостиска</t>
  </si>
  <si>
    <t>Мукачево</t>
  </si>
  <si>
    <t>Надвирна</t>
  </si>
  <si>
    <t>Нежин</t>
  </si>
  <si>
    <t>Немиров</t>
  </si>
  <si>
    <t>Нетешин</t>
  </si>
  <si>
    <t>Нижнегорский</t>
  </si>
  <si>
    <t>Николаев</t>
  </si>
  <si>
    <t>Николаевка</t>
  </si>
  <si>
    <t>Никополь</t>
  </si>
  <si>
    <t>Новая Каховка</t>
  </si>
  <si>
    <t>Новгородка</t>
  </si>
  <si>
    <t>Новоайдар</t>
  </si>
  <si>
    <t>Нововолынск</t>
  </si>
  <si>
    <t>Новоград-Волынский</t>
  </si>
  <si>
    <t>Новомиргород</t>
  </si>
  <si>
    <t>Новомосковск</t>
  </si>
  <si>
    <t>Новопсков</t>
  </si>
  <si>
    <t>Новотроицкое</t>
  </si>
  <si>
    <t>Новоукраинка</t>
  </si>
  <si>
    <t>Новые Санжары</t>
  </si>
  <si>
    <t>Новый Буг</t>
  </si>
  <si>
    <t>Новый Роздол</t>
  </si>
  <si>
    <t>Обухов</t>
  </si>
  <si>
    <t>Овруч</t>
  </si>
  <si>
    <t>Одесса</t>
  </si>
  <si>
    <t>Одесса 7 км</t>
  </si>
  <si>
    <t>Олевск</t>
  </si>
  <si>
    <t>Опошня</t>
  </si>
  <si>
    <t>Орджоникидзе</t>
  </si>
  <si>
    <t>Орехов</t>
  </si>
  <si>
    <t>Острог</t>
  </si>
  <si>
    <t>Павлоград</t>
  </si>
  <si>
    <t>Первомайск (Луг)</t>
  </si>
  <si>
    <t>Первомайск (Ник)</t>
  </si>
  <si>
    <t>Первомайский (Хар)</t>
  </si>
  <si>
    <t>Переяслав-Хмельницкий</t>
  </si>
  <si>
    <t>Першотравенск</t>
  </si>
  <si>
    <t>Песочин</t>
  </si>
  <si>
    <t>Петрово</t>
  </si>
  <si>
    <t>Пирятин</t>
  </si>
  <si>
    <t>Побугское</t>
  </si>
  <si>
    <t>Пологи</t>
  </si>
  <si>
    <t>Полонное</t>
  </si>
  <si>
    <t>Полтава</t>
  </si>
  <si>
    <t>Попасная</t>
  </si>
  <si>
    <t>Прилуки</t>
  </si>
  <si>
    <t>Приморск</t>
  </si>
  <si>
    <t>Путивль</t>
  </si>
  <si>
    <t>Пятихатки</t>
  </si>
  <si>
    <t>Рава-Русская</t>
  </si>
  <si>
    <t>Радехов</t>
  </si>
  <si>
    <t>Радивилов</t>
  </si>
  <si>
    <t>Раздельная</t>
  </si>
  <si>
    <t>Ракитное (Киевская обл.)</t>
  </si>
  <si>
    <t>Рени</t>
  </si>
  <si>
    <t>Решетиловка</t>
  </si>
  <si>
    <t>Ровеньки</t>
  </si>
  <si>
    <t>Ровно</t>
  </si>
  <si>
    <t>Рожище</t>
  </si>
  <si>
    <t>Рокитное (Ровенская обл.)</t>
  </si>
  <si>
    <t>Романов</t>
  </si>
  <si>
    <t>Ромны</t>
  </si>
  <si>
    <t>Рубежное</t>
  </si>
  <si>
    <t>Саки</t>
  </si>
  <si>
    <t>Самбор</t>
  </si>
  <si>
    <t>Сарны</t>
  </si>
  <si>
    <t>Свалява</t>
  </si>
  <si>
    <t>Сватово</t>
  </si>
  <si>
    <t>Свердловск</t>
  </si>
  <si>
    <t>Светловодск</t>
  </si>
  <si>
    <t>Северодонецк</t>
  </si>
  <si>
    <t>Селидово</t>
  </si>
  <si>
    <t>Синельниково</t>
  </si>
  <si>
    <t>Скадовск</t>
  </si>
  <si>
    <t>Сквира</t>
  </si>
  <si>
    <t>Славута</t>
  </si>
  <si>
    <t>Славутич</t>
  </si>
  <si>
    <t>Славянск</t>
  </si>
  <si>
    <t>Смела</t>
  </si>
  <si>
    <t>Снежное</t>
  </si>
  <si>
    <t>Снятын</t>
  </si>
  <si>
    <t>Соледар</t>
  </si>
  <si>
    <t>Ставище</t>
  </si>
  <si>
    <t>Старобельск</t>
  </si>
  <si>
    <t>Староконстантинов</t>
  </si>
  <si>
    <t>Старый Крым</t>
  </si>
  <si>
    <t>Стаханов</t>
  </si>
  <si>
    <t>Стебник</t>
  </si>
  <si>
    <t>Сторожинец</t>
  </si>
  <si>
    <t>Стрый</t>
  </si>
  <si>
    <t>Судак</t>
  </si>
  <si>
    <t>Сумы</t>
  </si>
  <si>
    <t>Суходольск</t>
  </si>
  <si>
    <t>Сходница</t>
  </si>
  <si>
    <t>Тальное</t>
  </si>
  <si>
    <t>Тараща</t>
  </si>
  <si>
    <t>Тарутино</t>
  </si>
  <si>
    <t>Татарбунары</t>
  </si>
  <si>
    <t>Теребовля</t>
  </si>
  <si>
    <t>Терновка</t>
  </si>
  <si>
    <t>Тернополь</t>
  </si>
  <si>
    <t>Токмак</t>
  </si>
  <si>
    <t>Торез</t>
  </si>
  <si>
    <t>Тростянец (Винн.обл.)</t>
  </si>
  <si>
    <t>Тростянец (Сумск.обл.)</t>
  </si>
  <si>
    <t>Трускавец</t>
  </si>
  <si>
    <t>Тульчин</t>
  </si>
  <si>
    <t>Тячев</t>
  </si>
  <si>
    <t>Угледар</t>
  </si>
  <si>
    <t>Ужгород</t>
  </si>
  <si>
    <t>Узин</t>
  </si>
  <si>
    <t>Ульяновка</t>
  </si>
  <si>
    <t>Умань</t>
  </si>
  <si>
    <t>Устиновка</t>
  </si>
  <si>
    <t>Фастов</t>
  </si>
  <si>
    <t>Феодосия</t>
  </si>
  <si>
    <t>Харцызск</t>
  </si>
  <si>
    <t>Харьков</t>
  </si>
  <si>
    <t>Херсон</t>
  </si>
  <si>
    <t>Хмельник</t>
  </si>
  <si>
    <t>Хмельницкий</t>
  </si>
  <si>
    <t>Ходоров</t>
  </si>
  <si>
    <t>Хорол</t>
  </si>
  <si>
    <t>Христиновка</t>
  </si>
  <si>
    <t>Хуст</t>
  </si>
  <si>
    <t>Цюрупинск</t>
  </si>
  <si>
    <t>Червоноград</t>
  </si>
  <si>
    <t>Червонозаводское</t>
  </si>
  <si>
    <t>Черкассы</t>
  </si>
  <si>
    <t>Чернигов</t>
  </si>
  <si>
    <t>Чернобай</t>
  </si>
  <si>
    <t>Черновцы</t>
  </si>
  <si>
    <t>Чортков</t>
  </si>
  <si>
    <t>Чугуев</t>
  </si>
  <si>
    <t>Чуднов</t>
  </si>
  <si>
    <t>Шаргород</t>
  </si>
  <si>
    <t>Шахтёрск</t>
  </si>
  <si>
    <t>Шепетовка</t>
  </si>
  <si>
    <t>Шишаки</t>
  </si>
  <si>
    <t>Шостка</t>
  </si>
  <si>
    <t>Шпола</t>
  </si>
  <si>
    <t>Щорс</t>
  </si>
  <si>
    <t>Энергодар</t>
  </si>
  <si>
    <t>Южноукраинск</t>
  </si>
  <si>
    <t>Южный</t>
  </si>
  <si>
    <t>Яворов</t>
  </si>
  <si>
    <t>Яготин</t>
  </si>
  <si>
    <t>Ялта</t>
  </si>
  <si>
    <t>Ямполь</t>
  </si>
  <si>
    <t>Яремча</t>
  </si>
  <si>
    <t>Ясиноватая</t>
  </si>
  <si>
    <t>Ясиня</t>
  </si>
  <si>
    <t>Курсы валют</t>
  </si>
  <si>
    <t>Для 7/12</t>
  </si>
  <si>
    <t>Для 5/12</t>
  </si>
  <si>
    <t>Количество рукавов</t>
  </si>
  <si>
    <t>Скоб сокола</t>
  </si>
  <si>
    <t>Проставки сокола усил.</t>
  </si>
  <si>
    <t>Рукав Клешни</t>
  </si>
  <si>
    <t>Скоб малых</t>
  </si>
  <si>
    <t>Стоимость "сокола"</t>
  </si>
  <si>
    <t>Труб 108х6</t>
  </si>
  <si>
    <t>Труб 108х8</t>
  </si>
  <si>
    <t>Стоимость "сокола усиленного"</t>
  </si>
  <si>
    <t>Стоимость "клешни"</t>
  </si>
  <si>
    <t>Количество ящиков для сокола</t>
  </si>
  <si>
    <t>Колич. Ящи. для сокола усиленного</t>
  </si>
  <si>
    <t>Кол ящ для клешни</t>
  </si>
  <si>
    <t>ЦБ</t>
  </si>
  <si>
    <t>сварной</t>
  </si>
  <si>
    <t>Статистика</t>
  </si>
  <si>
    <t>Бивалютная корзина</t>
  </si>
  <si>
    <t>ЮБКА</t>
  </si>
  <si>
    <t>10 шт</t>
  </si>
  <si>
    <t>5 шт</t>
  </si>
  <si>
    <t>5 штук</t>
  </si>
  <si>
    <t>10 штук</t>
  </si>
  <si>
    <t>Количество рёбер</t>
  </si>
  <si>
    <t>Кодичество труб</t>
  </si>
  <si>
    <t>Количество рукавов(скоб)</t>
  </si>
  <si>
    <t>Курс доллара</t>
  </si>
  <si>
    <t>руб/грн</t>
  </si>
  <si>
    <t>Тип метизов</t>
  </si>
  <si>
    <t>Стандарт</t>
  </si>
  <si>
    <t>Диаметр</t>
  </si>
  <si>
    <t>Длина</t>
  </si>
  <si>
    <t>Тип покрытия</t>
  </si>
  <si>
    <t>Класс прочности</t>
  </si>
  <si>
    <t>Кол-во, шт</t>
  </si>
  <si>
    <t>Вес, кг</t>
  </si>
  <si>
    <t>Цена</t>
  </si>
  <si>
    <t>Стоимость</t>
  </si>
  <si>
    <t>Болт</t>
  </si>
  <si>
    <t>ГОСТ 7805, 7798</t>
  </si>
  <si>
    <t>Оцинкованный</t>
  </si>
  <si>
    <t>Гайка</t>
  </si>
  <si>
    <t>DIN 934</t>
  </si>
  <si>
    <t>Шайба</t>
  </si>
  <si>
    <t>ГОСТ 11371, DIN 125 обычая</t>
  </si>
  <si>
    <t>Набор для одного узла(средний)</t>
  </si>
  <si>
    <t>ЯРдом (4частота 5/8)</t>
  </si>
  <si>
    <t>Грифон(модульный)</t>
  </si>
  <si>
    <t>3частота; 7/12части</t>
  </si>
  <si>
    <t>3частота; 5/12части</t>
  </si>
  <si>
    <t>3частота; 1/4части</t>
  </si>
  <si>
    <t>4частота; 3/4части</t>
  </si>
  <si>
    <t>4частота; 5/8части</t>
  </si>
  <si>
    <t>4частота; 1/2части</t>
  </si>
  <si>
    <t>4частота; 3/8части</t>
  </si>
  <si>
    <t>4частота; 1/4части</t>
  </si>
  <si>
    <t>5частота; 13/20части</t>
  </si>
  <si>
    <t>5частота; 11/20части</t>
  </si>
  <si>
    <t>5частота; 9/20части</t>
  </si>
  <si>
    <t>5частота; 7/20части</t>
  </si>
  <si>
    <t>6частота; 7/12части</t>
  </si>
  <si>
    <t>6частота; 1/2части</t>
  </si>
  <si>
    <t>6частота; 5/12части</t>
  </si>
  <si>
    <t>Додек. 4ч 1/2части</t>
  </si>
  <si>
    <t>Додек. 6ч 1/2части</t>
  </si>
  <si>
    <t>Додек. 8ч 1/2части</t>
  </si>
  <si>
    <t>=</t>
  </si>
  <si>
    <t>Наименование</t>
  </si>
  <si>
    <t>количество</t>
  </si>
  <si>
    <t>Тип</t>
  </si>
  <si>
    <t>диаметр</t>
  </si>
  <si>
    <t>покрытие</t>
  </si>
  <si>
    <t>Стоимость комплекта узловых соединений</t>
  </si>
  <si>
    <t>Цена за КГ</t>
  </si>
  <si>
    <t>Стоимость объёма</t>
  </si>
  <si>
    <t>Стоимость болтов гаек и шайб, вместе</t>
  </si>
  <si>
    <t>Стоимость за единицу</t>
  </si>
  <si>
    <t>Итоговая стоимость объма</t>
  </si>
  <si>
    <t>Новости</t>
  </si>
  <si>
    <t>Дата</t>
  </si>
  <si>
    <t xml:space="preserve"> Найти</t>
  </si>
  <si>
    <t>Войти</t>
  </si>
  <si>
    <t>Главные новости</t>
  </si>
  <si>
    <t>Мои новости</t>
  </si>
  <si>
    <t>Политика</t>
  </si>
  <si>
    <t>Общество</t>
  </si>
  <si>
    <t>Экономика</t>
  </si>
  <si>
    <t>В мире</t>
  </si>
  <si>
    <t>Спорт</t>
  </si>
  <si>
    <t>Происшествия</t>
  </si>
  <si>
    <t>Культура</t>
  </si>
  <si>
    <t>Наука</t>
  </si>
  <si>
    <t>Технологии</t>
  </si>
  <si>
    <t>Авто</t>
  </si>
  <si>
    <t>Новости экономики</t>
  </si>
  <si>
    <t>Финансы</t>
  </si>
  <si>
    <t>Энергетика</t>
  </si>
  <si>
    <t>Металлургия</t>
  </si>
  <si>
    <t>Транспорт</t>
  </si>
  <si>
    <t>Страхование</t>
  </si>
  <si>
    <t>Недвижимость</t>
  </si>
  <si>
    <t>Котировки</t>
  </si>
  <si>
    <t>USD ЦБ РФ</t>
  </si>
  <si>
    <t>EUR ЦБ РФ</t>
  </si>
  <si>
    <t>CHF ЦБ РФ</t>
  </si>
  <si>
    <t>GBP ЦБ РФ</t>
  </si>
  <si>
    <t>JPY ЦБ РФ</t>
  </si>
  <si>
    <t>Гривна ЦБ РФ</t>
  </si>
  <si>
    <t>KZT ЦБ РФ</t>
  </si>
  <si>
    <t>BYR ЦБ РФ</t>
  </si>
  <si>
    <t>TL ЦБ РФ</t>
  </si>
  <si>
    <t>CNY ЦБ РФ</t>
  </si>
  <si>
    <t>KRW ЦБ РФ</t>
  </si>
  <si>
    <t>INR ЦБ РФ</t>
  </si>
  <si>
    <t>EUR/USD</t>
  </si>
  <si>
    <t>USD/JPY</t>
  </si>
  <si>
    <t>Ещё</t>
  </si>
  <si>
    <t>Биржевые индексы</t>
  </si>
  <si>
    <t>ММВБ</t>
  </si>
  <si>
    <t>РТС</t>
  </si>
  <si>
    <t>ММВБ-10</t>
  </si>
  <si>
    <t>РТС-2</t>
  </si>
  <si>
    <t>KASE</t>
  </si>
  <si>
    <t>Dow (DJIA)</t>
  </si>
  <si>
    <t>NASDAQ</t>
  </si>
  <si>
    <t>S&amp;P 500</t>
  </si>
  <si>
    <t>Nikkei 225</t>
  </si>
  <si>
    <t>Hang Seng</t>
  </si>
  <si>
    <t>IBOVESPA</t>
  </si>
  <si>
    <t>Акции</t>
  </si>
  <si>
    <t>ГАЗПРОМ ао</t>
  </si>
  <si>
    <t>АВТОВАЗ ао</t>
  </si>
  <si>
    <t>Аэрофлот</t>
  </si>
  <si>
    <t>ВТБ ао</t>
  </si>
  <si>
    <t>ГМКНорНик</t>
  </si>
  <si>
    <t>ЛУКОЙЛ</t>
  </si>
  <si>
    <t>МТС-ао</t>
  </si>
  <si>
    <t>ОГК-5 ао</t>
  </si>
  <si>
    <t>Роснефть</t>
  </si>
  <si>
    <t>Ростел -ао</t>
  </si>
  <si>
    <t>Сбербанк</t>
  </si>
  <si>
    <t>СевСт-ао</t>
  </si>
  <si>
    <t>Сургнфгз ао</t>
  </si>
  <si>
    <t>Уркалий-ао</t>
  </si>
  <si>
    <t>YNDX</t>
  </si>
  <si>
    <t>Сырьё</t>
  </si>
  <si>
    <t>Нефть Brent</t>
  </si>
  <si>
    <t>Золото</t>
  </si>
  <si>
    <t>Алюминий</t>
  </si>
  <si>
    <t>Медь</t>
  </si>
  <si>
    <t>Никель</t>
  </si>
  <si>
    <t>Палладий</t>
  </si>
  <si>
    <t>Платина</t>
  </si>
  <si>
    <t>Серебро</t>
  </si>
  <si>
    <t>Цинк</t>
  </si>
  <si>
    <t>Цены на бензин</t>
  </si>
  <si>
    <t>АИ-92</t>
  </si>
  <si>
    <t>АИ-95</t>
  </si>
  <si>
    <t>АИ-98</t>
  </si>
  <si>
    <t>Дизель</t>
  </si>
  <si>
    <t>Динамика курса доллара США к рублю (USD, ЦБ РФ)</t>
  </si>
  <si>
    <t>Курс</t>
  </si>
  <si>
    <t>Изменение</t>
  </si>
  <si>
    <t>Данные предоставлены: ЗАО «Интерфакс»</t>
  </si>
  <si>
    <t>В период с 11:45 по 14:00 в рабочие дни указан средневзвешенный курс доллара США на торгах ЕТС ММВБ с расчетами «завтра» в 11:30 по московскому времени.</t>
  </si>
  <si>
    <t>Информация для СМИ</t>
  </si>
  <si>
    <t>База данных СМИ</t>
  </si>
  <si>
    <t>Пользовательское соглашение</t>
  </si>
  <si>
    <t>Мобильная версия</t>
  </si>
  <si>
    <t>Подписка на новости</t>
  </si>
  <si>
    <t>Новости на вашем сайте</t>
  </si>
  <si>
    <t>Реклама</t>
  </si>
  <si>
    <t>Обратная связь</t>
  </si>
  <si>
    <t>Помощь</t>
  </si>
  <si>
    <t>© 2001–2016  ООО «Яндекс»</t>
  </si>
  <si>
    <t>очень интересная формула</t>
  </si>
  <si>
    <t>Цветовая схема сборки для купола 7/12 части</t>
  </si>
  <si>
    <t>Вид спереди</t>
  </si>
  <si>
    <t>Вид сверху</t>
  </si>
  <si>
    <t>Рёбра основного каркаса сферы</t>
  </si>
  <si>
    <t>Нижняя обвязка юбки</t>
  </si>
  <si>
    <t>Стойки юбки для</t>
  </si>
  <si>
    <t>"7/12"</t>
  </si>
  <si>
    <t>части сферы</t>
  </si>
  <si>
    <t>"5/12"</t>
  </si>
  <si>
    <t>Цветовая схема сборки для купола 5/12 части</t>
  </si>
  <si>
    <t>Расположение стоек юбки</t>
  </si>
  <si>
    <t>Увеличеная область</t>
  </si>
  <si>
    <r>
      <rPr>
        <sz val="14"/>
        <color rgb="FFFFFF00"/>
        <rFont val="OrthodoxLoose"/>
        <family val="1"/>
        <charset val="204"/>
      </rPr>
      <t>Сопоставить данные, с калькулятором</t>
    </r>
    <r>
      <rPr>
        <sz val="14"/>
        <color rgb="FFFFFF00"/>
        <rFont val="Calibri"/>
        <family val="2"/>
        <charset val="204"/>
      </rPr>
      <t xml:space="preserve"> </t>
    </r>
    <r>
      <rPr>
        <sz val="12"/>
        <color rgb="FFFFFF00"/>
        <rFont val="Calibri"/>
        <family val="2"/>
        <charset val="204"/>
      </rPr>
      <t>acidome.ru</t>
    </r>
    <r>
      <rPr>
        <sz val="14"/>
        <color rgb="FFFFFF00"/>
        <rFont val="Calibri"/>
        <family val="2"/>
        <charset val="204"/>
      </rPr>
      <t xml:space="preserve">, </t>
    </r>
    <r>
      <rPr>
        <sz val="14"/>
        <color rgb="FFFFFF00"/>
        <rFont val="OrthodoxLoose"/>
        <family val="1"/>
        <charset val="204"/>
      </rPr>
      <t>можно по ссылке ниже:</t>
    </r>
  </si>
  <si>
    <r>
      <rPr>
        <sz val="14"/>
        <color rgb="FFFFFF00"/>
        <rFont val="OrthodoxLoose"/>
        <family val="1"/>
        <charset val="204"/>
      </rPr>
      <t>В это поле можно вбить свою ссылку, на модель в калькуляторе</t>
    </r>
    <r>
      <rPr>
        <sz val="14"/>
        <color rgb="FFFFFF00"/>
        <rFont val="Calibri"/>
        <family val="2"/>
        <charset val="204"/>
      </rPr>
      <t xml:space="preserve"> </t>
    </r>
    <r>
      <rPr>
        <sz val="12"/>
        <color rgb="FFFFFF00"/>
        <rFont val="Calibri"/>
        <family val="2"/>
        <charset val="204"/>
      </rPr>
      <t>acidome.ru</t>
    </r>
  </si>
  <si>
    <t>купола</t>
  </si>
  <si>
    <t>х</t>
  </si>
  <si>
    <t>Труба</t>
  </si>
  <si>
    <t>Контррейка внутренняя</t>
  </si>
  <si>
    <t>Оболочка внутренняя (ОСП/вагонка)</t>
  </si>
  <si>
    <t>Контррейка (снаружи)</t>
  </si>
  <si>
    <t>Пароизоляционная плёнка</t>
  </si>
  <si>
    <t>Рёбра купола - Доска</t>
  </si>
  <si>
    <r>
      <t>Утеплитель</t>
    </r>
    <r>
      <rPr>
        <b/>
        <sz val="14"/>
        <color rgb="FFFF0000"/>
        <rFont val="GOST type B"/>
        <family val="2"/>
      </rPr>
      <t>(паропрозрачный)</t>
    </r>
  </si>
  <si>
    <t>Ветро-гидроизоляционная мембрана</t>
  </si>
  <si>
    <t>Подкровельный ковёр(гидроизоляция)</t>
  </si>
  <si>
    <t>Кровельное покрытие</t>
  </si>
  <si>
    <t>Продухи</t>
  </si>
  <si>
    <t>Пирог купола</t>
  </si>
  <si>
    <t>метр.</t>
  </si>
  <si>
    <t>Радиус купола</t>
  </si>
  <si>
    <t>Внешний вентзазор</t>
  </si>
  <si>
    <t>Воздушный зазор</t>
  </si>
  <si>
    <t>внутренняя сторона</t>
  </si>
  <si>
    <t>Контррейка</t>
  </si>
  <si>
    <t>количество штук</t>
  </si>
  <si>
    <t>объём контррейки  снаружи</t>
  </si>
  <si>
    <t>Объём</t>
  </si>
  <si>
    <t>Пароизоляционная плёнка +10%</t>
  </si>
  <si>
    <t>Гидроизоляционная мембрана +10%</t>
  </si>
  <si>
    <t>м.кв.</t>
  </si>
  <si>
    <t>РУБ. Великая Русь</t>
  </si>
  <si>
    <t>ГРН. Малая Русь</t>
  </si>
  <si>
    <t>$  Пиндосия</t>
  </si>
  <si>
    <t>руб</t>
  </si>
  <si>
    <t>грн</t>
  </si>
  <si>
    <t>дол.</t>
  </si>
  <si>
    <t>Выберите валюту своей страны</t>
  </si>
  <si>
    <t>Теперь курс доллара</t>
  </si>
  <si>
    <t>ф 5мм</t>
  </si>
  <si>
    <t>Объём рёбер каркаса</t>
  </si>
  <si>
    <t xml:space="preserve">        </t>
  </si>
  <si>
    <t>Итоговя стоимость раздела</t>
  </si>
  <si>
    <t>Подбиваем стоимость основных каркасов</t>
  </si>
  <si>
    <t>Подбиваем стоимость наполнения свода</t>
  </si>
  <si>
    <t>Утеплитель</t>
  </si>
  <si>
    <t>Общая сумма</t>
  </si>
  <si>
    <t>площадь треугольника</t>
  </si>
  <si>
    <t>Наружная оболочка(ОСП/фанера/доска и т.п.)</t>
  </si>
  <si>
    <t>Внутренняя обшивка(вагонка/фанера/ОСП/ЦСП/СМЛ)</t>
  </si>
  <si>
    <t>30 штук</t>
  </si>
  <si>
    <t>м.кв</t>
  </si>
  <si>
    <t>Оболочка снаружи (ОСП/фанера)</t>
  </si>
  <si>
    <t>Кровельное покрытие(битумная черепица)</t>
  </si>
  <si>
    <t>Внешняя отделка "юбки"(декоративный камень и т.п.)</t>
  </si>
  <si>
    <t>Гвозди для кровли 30х3мм</t>
  </si>
  <si>
    <t>Отливы по периметру кровли</t>
  </si>
  <si>
    <t>м.п.</t>
  </si>
  <si>
    <t>шт.</t>
  </si>
  <si>
    <t>м/п</t>
  </si>
  <si>
    <t>литров</t>
  </si>
  <si>
    <t>Нащельник для углов(стыков треугольников вагонки)</t>
  </si>
  <si>
    <r>
      <t xml:space="preserve">                  </t>
    </r>
    <r>
      <rPr>
        <b/>
        <sz val="10"/>
        <color indexed="23"/>
        <rFont val="Times New Roman"/>
        <family val="1"/>
        <charset val="204"/>
      </rPr>
      <t xml:space="preserve"> Расчёт</t>
    </r>
    <r>
      <rPr>
        <b/>
        <sz val="6"/>
        <color indexed="23"/>
        <rFont val="Times New Roman"/>
        <family val="1"/>
        <charset val="204"/>
      </rPr>
      <t xml:space="preserve">
    </t>
    </r>
    <r>
      <rPr>
        <b/>
        <sz val="8"/>
        <color indexed="23"/>
        <rFont val="Times New Roman"/>
        <family val="1"/>
        <charset val="204"/>
      </rPr>
      <t>по СНиП 23.01-99</t>
    </r>
  </si>
  <si>
    <t>Выберите место застройки!</t>
  </si>
  <si>
    <t>Выберите наиболее подходящий тип грунта места застройки!</t>
  </si>
  <si>
    <t>Калькулятор считает глубину заложения сваи, исходя из глубины сезонного промерзания грунта района застройки. Заодно считает объём и стоимость материалов. Пользоваться легко! Выбираете город, тип грунта в выпадающих списках, и всё. Захотите посчитать стоимость, добавьте стоимость материалов в рыжие ячейки.</t>
  </si>
  <si>
    <t>Шаг 400мм</t>
  </si>
  <si>
    <t>Объёмы материалов</t>
  </si>
  <si>
    <t>М/П</t>
  </si>
  <si>
    <t>КГ</t>
  </si>
  <si>
    <t>Продольная арматура АIII Ф        мм</t>
  </si>
  <si>
    <t>Бетон М300</t>
  </si>
  <si>
    <t>Рубероид</t>
  </si>
  <si>
    <t>Количество свай</t>
  </si>
  <si>
    <t>Диаметр сваи ТИСЭ</t>
  </si>
  <si>
    <t>Диаметр основания сваи</t>
  </si>
  <si>
    <t>Таблица 3 - Средняя месячная и средне годовая температура воздуха, °С</t>
  </si>
  <si>
    <t>Таблица 1 - Климатические параметры холодного периода года</t>
  </si>
  <si>
    <t>Таблица 2 - Климатические параметры теплого периода года</t>
  </si>
  <si>
    <t>Таблица 5а. Среднее месячное и годовое парциальное давление водяного пара, гПа</t>
  </si>
  <si>
    <t xml:space="preserve">Республика, край, область, пункт      </t>
  </si>
  <si>
    <t xml:space="preserve">Температура   воздуха   наиболее    холодных   суток °С, Обеспеченностью </t>
  </si>
  <si>
    <t xml:space="preserve">Температура воздуха  наиболее  холодной пятидневки,   °С   Обеспеченностью  </t>
  </si>
  <si>
    <t>Температура воздуха, °С, обеспеченностью 0,94</t>
  </si>
  <si>
    <t xml:space="preserve">Абсолютная минимальная температура  воздуха,    °С    </t>
  </si>
  <si>
    <t xml:space="preserve"> Средняя суточная амплитуда температуры воздуха наиболее холодного месяца,  °С        </t>
  </si>
  <si>
    <t>Продолжительность, сут, и средняя температура  воздуха, °С в  период  со средней суточной   температурой воздуха</t>
  </si>
  <si>
    <t xml:space="preserve">Средняя  месячная относительная влажность  воздуха   наиболее холодного месяца, % </t>
  </si>
  <si>
    <t xml:space="preserve">Средняя   месячная относительная  влажность воздуха в   15 ч    наиболее холодного месяца, % </t>
  </si>
  <si>
    <t xml:space="preserve">Количество осадков  за  ноябрь - март, мм   </t>
  </si>
  <si>
    <t xml:space="preserve">Преобладающее направление ветра за декабрь - февраль  </t>
  </si>
  <si>
    <t xml:space="preserve">Максимальная  из средних скоростей ветра по румбам за  январь,    м/с   </t>
  </si>
  <si>
    <t xml:space="preserve">Средняя скорость  ветра,  м/с, за период со  средней суточной температурой воздуха  </t>
  </si>
  <si>
    <t xml:space="preserve">   Республика, край, область, пункт     </t>
  </si>
  <si>
    <t xml:space="preserve">Барометрическое давление, гПа  </t>
  </si>
  <si>
    <t xml:space="preserve">Темпера тура воздуха, °С, обеспеченностью  0,95  </t>
  </si>
  <si>
    <t xml:space="preserve">Темпера тура воздуха,  °С, обеспеченностью  0,99   </t>
  </si>
  <si>
    <t xml:space="preserve">Средняя максимальная температура воздуха наиболее теплого месяца,   °С    </t>
  </si>
  <si>
    <t xml:space="preserve">Абсолютная максимальная температура воздуха,  °С    </t>
  </si>
  <si>
    <t xml:space="preserve">Средняя  суточная амплитуда температуры воздуха  наиболее теплого  месяца, °С </t>
  </si>
  <si>
    <t xml:space="preserve">Средняя месячная относительная влажность воздуха наиболее теплого месяца,    %    </t>
  </si>
  <si>
    <t>Средняя месячная относительная  влажность воздуха в 15 ч  наиболее  теплого месяца, %</t>
  </si>
  <si>
    <t xml:space="preserve">Количество осадков за апрель октябрь,    мм    </t>
  </si>
  <si>
    <t xml:space="preserve">Суточный максимум осадков,  мм  </t>
  </si>
  <si>
    <t>Преобладающее направление ветра за  июнь-август</t>
  </si>
  <si>
    <t xml:space="preserve">Минимальная из средних скоростей  ветра по  румбам за  июль, м/с </t>
  </si>
  <si>
    <t>Республика</t>
  </si>
  <si>
    <t>край</t>
  </si>
  <si>
    <t xml:space="preserve">I 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</si>
  <si>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</si>
  <si>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</si>
  <si>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</si>
  <si>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</si>
  <si>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</si>
  <si>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</si>
  <si>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</si>
  <si>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</si>
  <si>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</si>
  <si>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</si>
  <si>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</si>
  <si>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Год</t>
  </si>
  <si>
    <t>продолжительность</t>
  </si>
  <si>
    <t>средняя температура</t>
  </si>
  <si>
    <t xml:space="preserve">Республика, край, область, пункт   </t>
  </si>
  <si>
    <t xml:space="preserve">  I  </t>
  </si>
  <si>
    <t xml:space="preserve"> II </t>
  </si>
  <si>
    <t xml:space="preserve"> III </t>
  </si>
  <si>
    <t xml:space="preserve"> IV  </t>
  </si>
  <si>
    <t xml:space="preserve"> V  </t>
  </si>
  <si>
    <t xml:space="preserve"> VI  </t>
  </si>
  <si>
    <t xml:space="preserve"> VII </t>
  </si>
  <si>
    <t xml:space="preserve"> IX  </t>
  </si>
  <si>
    <t xml:space="preserve">  X  </t>
  </si>
  <si>
    <t xml:space="preserve"> XI </t>
  </si>
  <si>
    <t xml:space="preserve"> ХII </t>
  </si>
  <si>
    <t xml:space="preserve"> Год </t>
  </si>
  <si>
    <t>1а</t>
  </si>
  <si>
    <t>1б</t>
  </si>
  <si>
    <t>1в</t>
  </si>
  <si>
    <t>Великая Русь</t>
  </si>
  <si>
    <t>Республика Хакасия</t>
  </si>
  <si>
    <t xml:space="preserve">Абакан                   </t>
  </si>
  <si>
    <t xml:space="preserve">    -    </t>
  </si>
  <si>
    <t xml:space="preserve">Абакан                  </t>
  </si>
  <si>
    <t xml:space="preserve">  -   </t>
  </si>
  <si>
    <t xml:space="preserve">     -     </t>
  </si>
  <si>
    <t>Красноярский край</t>
  </si>
  <si>
    <t>Агата</t>
  </si>
  <si>
    <t xml:space="preserve">Агата                    </t>
  </si>
  <si>
    <t xml:space="preserve">   СВ    </t>
  </si>
  <si>
    <t xml:space="preserve">Агата                   </t>
  </si>
  <si>
    <t xml:space="preserve">  СВ  </t>
  </si>
  <si>
    <t>Приморский край</t>
  </si>
  <si>
    <t>Агзу</t>
  </si>
  <si>
    <t xml:space="preserve">Агзу                     </t>
  </si>
  <si>
    <t xml:space="preserve">   СЗ    </t>
  </si>
  <si>
    <t xml:space="preserve">Агзу                    </t>
  </si>
  <si>
    <t xml:space="preserve">  ЮВ  </t>
  </si>
  <si>
    <t>Читинская область</t>
  </si>
  <si>
    <t>Агинское</t>
  </si>
  <si>
    <t xml:space="preserve">Агинское                 </t>
  </si>
  <si>
    <t xml:space="preserve">    З    </t>
  </si>
  <si>
    <t xml:space="preserve">Агинское                </t>
  </si>
  <si>
    <t xml:space="preserve">  З   </t>
  </si>
  <si>
    <t>Малая Русь</t>
  </si>
  <si>
    <t>Автономная республика Крым</t>
  </si>
  <si>
    <t xml:space="preserve">Ай-Петри                 </t>
  </si>
  <si>
    <t xml:space="preserve">    -     </t>
  </si>
  <si>
    <t xml:space="preserve">Ай-Петри                </t>
  </si>
  <si>
    <t xml:space="preserve">   -    </t>
  </si>
  <si>
    <t xml:space="preserve">  СЗ  </t>
  </si>
  <si>
    <t>Республика КазаКстан</t>
  </si>
  <si>
    <t>Актюбинская область</t>
  </si>
  <si>
    <t xml:space="preserve">Актюбинск                </t>
  </si>
  <si>
    <t xml:space="preserve">    Ю    </t>
  </si>
  <si>
    <t xml:space="preserve">Актюбинск               </t>
  </si>
  <si>
    <t xml:space="preserve">  -  </t>
  </si>
  <si>
    <t>Акша</t>
  </si>
  <si>
    <t xml:space="preserve">Акша                     </t>
  </si>
  <si>
    <t xml:space="preserve">Акша                    </t>
  </si>
  <si>
    <t>Республика Саха (Якутия)</t>
  </si>
  <si>
    <t xml:space="preserve">Алдан                    </t>
  </si>
  <si>
    <t xml:space="preserve">   ЮЗ    </t>
  </si>
  <si>
    <t xml:space="preserve">Алдан                   </t>
  </si>
  <si>
    <t xml:space="preserve">  Ю   </t>
  </si>
  <si>
    <t>Алтайский край, Республика Алтай</t>
  </si>
  <si>
    <t>Алейск</t>
  </si>
  <si>
    <t xml:space="preserve">Алейск                   </t>
  </si>
  <si>
    <t xml:space="preserve">Алейск                  </t>
  </si>
  <si>
    <t xml:space="preserve">  ЮЗ  </t>
  </si>
  <si>
    <t>Саратовская область</t>
  </si>
  <si>
    <t>Александров Гай</t>
  </si>
  <si>
    <t xml:space="preserve">Александров Гай          </t>
  </si>
  <si>
    <t xml:space="preserve">    В    </t>
  </si>
  <si>
    <t xml:space="preserve">Александров Гай         </t>
  </si>
  <si>
    <t>Александровский Завод</t>
  </si>
  <si>
    <t xml:space="preserve">Александровский Завод    </t>
  </si>
  <si>
    <t xml:space="preserve">Александровский Завод   </t>
  </si>
  <si>
    <t>Томская область</t>
  </si>
  <si>
    <t>Александровское</t>
  </si>
  <si>
    <t xml:space="preserve">Александровское          </t>
  </si>
  <si>
    <t xml:space="preserve">   ЮВ    </t>
  </si>
  <si>
    <t xml:space="preserve">Александровское         </t>
  </si>
  <si>
    <t>Сахалинская область</t>
  </si>
  <si>
    <t>Александровск-Сахалинский</t>
  </si>
  <si>
    <t xml:space="preserve">Александровск-Сахалинс- </t>
  </si>
  <si>
    <t xml:space="preserve">Аллах-Юнь                </t>
  </si>
  <si>
    <t xml:space="preserve">    С    </t>
  </si>
  <si>
    <t xml:space="preserve">Аллах-Юнь               </t>
  </si>
  <si>
    <t>Алматинская область</t>
  </si>
  <si>
    <t xml:space="preserve">Алматы                   </t>
  </si>
  <si>
    <t xml:space="preserve">Алматы                  </t>
  </si>
  <si>
    <t>Иркутская область</t>
  </si>
  <si>
    <t>Алыгджер</t>
  </si>
  <si>
    <t xml:space="preserve">Алыгджер                 </t>
  </si>
  <si>
    <t xml:space="preserve">Алыгджер                </t>
  </si>
  <si>
    <t xml:space="preserve">  С   </t>
  </si>
  <si>
    <t>Тургайская область</t>
  </si>
  <si>
    <t xml:space="preserve">Амангельды               </t>
  </si>
  <si>
    <t xml:space="preserve">Амангельды              </t>
  </si>
  <si>
    <t xml:space="preserve">Амга                     </t>
  </si>
  <si>
    <t xml:space="preserve">Амга                    </t>
  </si>
  <si>
    <t>Чукотский АО (Магаданская область)</t>
  </si>
  <si>
    <t>Анадырь</t>
  </si>
  <si>
    <t xml:space="preserve">Анадырь                  </t>
  </si>
  <si>
    <t xml:space="preserve">Анадырь                 </t>
  </si>
  <si>
    <t>Республика Узбекистан</t>
  </si>
  <si>
    <t>Андижанская область</t>
  </si>
  <si>
    <t xml:space="preserve">Андижан                  </t>
  </si>
  <si>
    <t xml:space="preserve">   -   </t>
  </si>
  <si>
    <t xml:space="preserve">Андижан                 </t>
  </si>
  <si>
    <t>Анучино</t>
  </si>
  <si>
    <t xml:space="preserve">Анучино                  </t>
  </si>
  <si>
    <t xml:space="preserve">Анучино                 </t>
  </si>
  <si>
    <t>Камчатская область</t>
  </si>
  <si>
    <t>Апука - Корякский АО</t>
  </si>
  <si>
    <t xml:space="preserve">Апука - Корякский АО     </t>
  </si>
  <si>
    <t xml:space="preserve">Апука - Корякский АО    </t>
  </si>
  <si>
    <t>Кзыл-Ординская область</t>
  </si>
  <si>
    <t xml:space="preserve">Аральское Море           </t>
  </si>
  <si>
    <t xml:space="preserve">Аральское море          </t>
  </si>
  <si>
    <t>Нижегородская область</t>
  </si>
  <si>
    <t>Арзамас</t>
  </si>
  <si>
    <t xml:space="preserve">Арзамас                  </t>
  </si>
  <si>
    <t xml:space="preserve">Арзамас                 </t>
  </si>
  <si>
    <t>Ставропольский край</t>
  </si>
  <si>
    <t>Арзгир</t>
  </si>
  <si>
    <t xml:space="preserve">Арзгир                   </t>
  </si>
  <si>
    <t xml:space="preserve">Арзгир                  </t>
  </si>
  <si>
    <t xml:space="preserve">  В   </t>
  </si>
  <si>
    <t>Магаданская область</t>
  </si>
  <si>
    <t>Аркагала</t>
  </si>
  <si>
    <t xml:space="preserve">Аркагала                 </t>
  </si>
  <si>
    <t xml:space="preserve">Аркагала                </t>
  </si>
  <si>
    <t>Архангельская область</t>
  </si>
  <si>
    <t xml:space="preserve">Архангельск              </t>
  </si>
  <si>
    <t xml:space="preserve">Архангельск             </t>
  </si>
  <si>
    <t>Амурская область</t>
  </si>
  <si>
    <t>Архара</t>
  </si>
  <si>
    <t xml:space="preserve">Архара                   </t>
  </si>
  <si>
    <t xml:space="preserve">Архара                  </t>
  </si>
  <si>
    <t>Херсонская область</t>
  </si>
  <si>
    <t xml:space="preserve">Аскания-Нова             </t>
  </si>
  <si>
    <t xml:space="preserve">Аскания-Нова            </t>
  </si>
  <si>
    <t>Акмолинская область</t>
  </si>
  <si>
    <t xml:space="preserve">Астана                   </t>
  </si>
  <si>
    <t xml:space="preserve">Астана                  </t>
  </si>
  <si>
    <t>Астраханка</t>
  </si>
  <si>
    <t xml:space="preserve">Астраханка               </t>
  </si>
  <si>
    <t xml:space="preserve">Астраханка              </t>
  </si>
  <si>
    <t>Астраханская область</t>
  </si>
  <si>
    <t xml:space="preserve">Астрахань                </t>
  </si>
  <si>
    <t xml:space="preserve">Астрахань               </t>
  </si>
  <si>
    <t xml:space="preserve">Атбасар                  </t>
  </si>
  <si>
    <t xml:space="preserve">Атбасар                 </t>
  </si>
  <si>
    <t>Атырауская область</t>
  </si>
  <si>
    <t xml:space="preserve">Атырау                   </t>
  </si>
  <si>
    <t xml:space="preserve">Атырау                  </t>
  </si>
  <si>
    <t xml:space="preserve"> ЮЗ;  </t>
  </si>
  <si>
    <t>Грузия</t>
  </si>
  <si>
    <t>Ахалкалаки</t>
  </si>
  <si>
    <t xml:space="preserve">Ахалкалаки               </t>
  </si>
  <si>
    <t xml:space="preserve">Ахалкалаки              </t>
  </si>
  <si>
    <t xml:space="preserve">Ачинск                   </t>
  </si>
  <si>
    <t xml:space="preserve">Ачинск                  </t>
  </si>
  <si>
    <t>Республика Туркменистан</t>
  </si>
  <si>
    <t xml:space="preserve">Ахалская область        </t>
  </si>
  <si>
    <t xml:space="preserve">Ашхабад                  </t>
  </si>
  <si>
    <t xml:space="preserve">Ашхабад                 </t>
  </si>
  <si>
    <t>Семипалатинская область</t>
  </si>
  <si>
    <t xml:space="preserve">Аягуз                    </t>
  </si>
  <si>
    <t xml:space="preserve">Аягуз                   </t>
  </si>
  <si>
    <t>Хабаровский край</t>
  </si>
  <si>
    <t>Аян</t>
  </si>
  <si>
    <t xml:space="preserve">Аян                      </t>
  </si>
  <si>
    <t xml:space="preserve">Аян                     </t>
  </si>
  <si>
    <t>Вологодская область</t>
  </si>
  <si>
    <t>Бабаево</t>
  </si>
  <si>
    <t xml:space="preserve">Бабаево                  </t>
  </si>
  <si>
    <t xml:space="preserve">Бабаево                 </t>
  </si>
  <si>
    <t>Республика Бурятия</t>
  </si>
  <si>
    <t>Бабушкин</t>
  </si>
  <si>
    <t xml:space="preserve">Бабушкин                 </t>
  </si>
  <si>
    <t xml:space="preserve">Бабушкин                </t>
  </si>
  <si>
    <t>Багдарин</t>
  </si>
  <si>
    <t xml:space="preserve">Багдарин                 </t>
  </si>
  <si>
    <t xml:space="preserve">Багдарин                </t>
  </si>
  <si>
    <t>Байдуков</t>
  </si>
  <si>
    <t xml:space="preserve">Байдуков                 </t>
  </si>
  <si>
    <t xml:space="preserve">Байдуков                </t>
  </si>
  <si>
    <t>Байкит - Эвенкийский  АО</t>
  </si>
  <si>
    <t xml:space="preserve">Байкит - Эвенкийский АО  </t>
  </si>
  <si>
    <t xml:space="preserve">Байкит - Эвенкийский АО </t>
  </si>
  <si>
    <t xml:space="preserve">Марыйская область        </t>
  </si>
  <si>
    <t xml:space="preserve">Байрамали                </t>
  </si>
  <si>
    <t xml:space="preserve">Байрамали               </t>
  </si>
  <si>
    <t xml:space="preserve">Баканас                  </t>
  </si>
  <si>
    <t xml:space="preserve">Баканас                 </t>
  </si>
  <si>
    <t>Азербайджанская Республика</t>
  </si>
  <si>
    <t xml:space="preserve">Баку   </t>
  </si>
  <si>
    <t>25,7 |</t>
  </si>
  <si>
    <t>11,1 |</t>
  </si>
  <si>
    <t xml:space="preserve">Баку                     </t>
  </si>
  <si>
    <t xml:space="preserve">Баку                    </t>
  </si>
  <si>
    <t>Балашов</t>
  </si>
  <si>
    <t xml:space="preserve">Балашов                  </t>
  </si>
  <si>
    <t xml:space="preserve">Балашов                 </t>
  </si>
  <si>
    <t>Джезказганская область</t>
  </si>
  <si>
    <t xml:space="preserve">Балхаш                   </t>
  </si>
  <si>
    <t xml:space="preserve">Балхаш                  </t>
  </si>
  <si>
    <t>Новосибирская область</t>
  </si>
  <si>
    <t>Барабинск</t>
  </si>
  <si>
    <t xml:space="preserve">Барабинск                </t>
  </si>
  <si>
    <t xml:space="preserve">Барабинск               </t>
  </si>
  <si>
    <t>Баргузин</t>
  </si>
  <si>
    <t xml:space="preserve">Баргузин                 </t>
  </si>
  <si>
    <t xml:space="preserve">Баргузин                </t>
  </si>
  <si>
    <t xml:space="preserve">Барнаул                  </t>
  </si>
  <si>
    <t xml:space="preserve">Барнаул                 </t>
  </si>
  <si>
    <t xml:space="preserve">Батамай                  </t>
  </si>
  <si>
    <t xml:space="preserve">Батамай                 </t>
  </si>
  <si>
    <t>Аджарская республика</t>
  </si>
  <si>
    <t>Батуми</t>
  </si>
  <si>
    <t xml:space="preserve">Батуми                   </t>
  </si>
  <si>
    <t xml:space="preserve">Батуми                  </t>
  </si>
  <si>
    <t xml:space="preserve">Бахты                    </t>
  </si>
  <si>
    <t xml:space="preserve">Бахты                   </t>
  </si>
  <si>
    <t>Павлодарская область</t>
  </si>
  <si>
    <t xml:space="preserve">Баянаул                  </t>
  </si>
  <si>
    <t xml:space="preserve">Баянаул                 </t>
  </si>
  <si>
    <t>Тверская область</t>
  </si>
  <si>
    <t>Бежецк</t>
  </si>
  <si>
    <t xml:space="preserve">Бежецк                   </t>
  </si>
  <si>
    <t xml:space="preserve">Бежецк                  </t>
  </si>
  <si>
    <t>Белгородская область</t>
  </si>
  <si>
    <t>Белгород</t>
  </si>
  <si>
    <t xml:space="preserve">Белгород                 </t>
  </si>
  <si>
    <t xml:space="preserve">Белгород                </t>
  </si>
  <si>
    <t xml:space="preserve">Белогорск                </t>
  </si>
  <si>
    <t xml:space="preserve">Белогорск               </t>
  </si>
  <si>
    <t>Республика Башкортостан</t>
  </si>
  <si>
    <t>Белорецк</t>
  </si>
  <si>
    <t xml:space="preserve">Белорецк                 </t>
  </si>
  <si>
    <t xml:space="preserve">Белорецк                </t>
  </si>
  <si>
    <t>Беля</t>
  </si>
  <si>
    <t xml:space="preserve">Беля                     </t>
  </si>
  <si>
    <t xml:space="preserve">Беля                    </t>
  </si>
  <si>
    <t xml:space="preserve">Бердигястях              </t>
  </si>
  <si>
    <t xml:space="preserve">Бердигястях             </t>
  </si>
  <si>
    <t>Березово</t>
  </si>
  <si>
    <t xml:space="preserve">Березово -               </t>
  </si>
  <si>
    <t xml:space="preserve">Березово -              </t>
  </si>
  <si>
    <t>Тюменская область</t>
  </si>
  <si>
    <t>Березово -  Ханты-Мансийский АО</t>
  </si>
  <si>
    <t xml:space="preserve">Березово                 </t>
  </si>
  <si>
    <t xml:space="preserve">Березово                </t>
  </si>
  <si>
    <t xml:space="preserve">Бийск                    </t>
  </si>
  <si>
    <t xml:space="preserve">Бийск                   </t>
  </si>
  <si>
    <t>Бикин</t>
  </si>
  <si>
    <t xml:space="preserve">Бикин                    </t>
  </si>
  <si>
    <t xml:space="preserve">Бикин                   </t>
  </si>
  <si>
    <t>Бира</t>
  </si>
  <si>
    <t xml:space="preserve">Бира                     </t>
  </si>
  <si>
    <t xml:space="preserve">Бира                    </t>
  </si>
  <si>
    <t>Биробиджан</t>
  </si>
  <si>
    <t xml:space="preserve">Биробиджан               </t>
  </si>
  <si>
    <t xml:space="preserve">Биробиджан              </t>
  </si>
  <si>
    <t>Пермская область</t>
  </si>
  <si>
    <t>Бисер</t>
  </si>
  <si>
    <t xml:space="preserve">Бисер                    </t>
  </si>
  <si>
    <t xml:space="preserve">Бисер                   </t>
  </si>
  <si>
    <t>Кыргызская Республика</t>
  </si>
  <si>
    <t>Чуйская область</t>
  </si>
  <si>
    <t>Бишкек</t>
  </si>
  <si>
    <t xml:space="preserve">Бишкек                   </t>
  </si>
  <si>
    <t xml:space="preserve">Бишкек                  </t>
  </si>
  <si>
    <t xml:space="preserve">Благовещенск             </t>
  </si>
  <si>
    <t xml:space="preserve">Благовещенск            </t>
  </si>
  <si>
    <t>Богополь</t>
  </si>
  <si>
    <t xml:space="preserve">Богополь                 </t>
  </si>
  <si>
    <t xml:space="preserve">Богополь                </t>
  </si>
  <si>
    <t>Боготол</t>
  </si>
  <si>
    <t xml:space="preserve">Боготол                  </t>
  </si>
  <si>
    <t xml:space="preserve">Боготол                 </t>
  </si>
  <si>
    <t>Богучаны</t>
  </si>
  <si>
    <t xml:space="preserve">Богучаны                 </t>
  </si>
  <si>
    <t xml:space="preserve">Богучаны                </t>
  </si>
  <si>
    <t>Бодайбо</t>
  </si>
  <si>
    <t xml:space="preserve">Бодайбо                  </t>
  </si>
  <si>
    <t xml:space="preserve">Бодайбо                 </t>
  </si>
  <si>
    <t>Болотное</t>
  </si>
  <si>
    <t xml:space="preserve">Болотное                 </t>
  </si>
  <si>
    <t xml:space="preserve">Болотное                </t>
  </si>
  <si>
    <t>Бомнак</t>
  </si>
  <si>
    <t xml:space="preserve">Бомнак                   </t>
  </si>
  <si>
    <t xml:space="preserve">Бомнак                  </t>
  </si>
  <si>
    <t>Борзя</t>
  </si>
  <si>
    <t xml:space="preserve">Борзя                    </t>
  </si>
  <si>
    <t xml:space="preserve">Борзя                   </t>
  </si>
  <si>
    <t>Борковская</t>
  </si>
  <si>
    <t xml:space="preserve">Борковская               </t>
  </si>
  <si>
    <t xml:space="preserve">Борковская              </t>
  </si>
  <si>
    <t>Новгородская область</t>
  </si>
  <si>
    <t>Боровичи</t>
  </si>
  <si>
    <t xml:space="preserve">Боровичи                 </t>
  </si>
  <si>
    <t xml:space="preserve">Боровичи                </t>
  </si>
  <si>
    <t>Братолюбовка</t>
  </si>
  <si>
    <t xml:space="preserve">Братолюбовка             </t>
  </si>
  <si>
    <t xml:space="preserve">Братолюбовка            </t>
  </si>
  <si>
    <t xml:space="preserve">Братск                   </t>
  </si>
  <si>
    <t xml:space="preserve">Братск                  </t>
  </si>
  <si>
    <t>Республика Беларусь</t>
  </si>
  <si>
    <t>Брестская область</t>
  </si>
  <si>
    <t>Брест</t>
  </si>
  <si>
    <t xml:space="preserve">Брест                    </t>
  </si>
  <si>
    <t xml:space="preserve">Брест                   </t>
  </si>
  <si>
    <t>Брохово</t>
  </si>
  <si>
    <t xml:space="preserve">Брохово                  </t>
  </si>
  <si>
    <t xml:space="preserve">Брохово                 </t>
  </si>
  <si>
    <t>Брянская область</t>
  </si>
  <si>
    <t>Брянск</t>
  </si>
  <si>
    <t xml:space="preserve">Брянск                   </t>
  </si>
  <si>
    <t xml:space="preserve">Брянск                  </t>
  </si>
  <si>
    <t>Республика Татарстан</t>
  </si>
  <si>
    <t>Бугульма</t>
  </si>
  <si>
    <t xml:space="preserve">Бугульма                 </t>
  </si>
  <si>
    <t xml:space="preserve">Бугульма                </t>
  </si>
  <si>
    <t>Бухарская область</t>
  </si>
  <si>
    <t>Бухара</t>
  </si>
  <si>
    <t xml:space="preserve">Бухара                   </t>
  </si>
  <si>
    <t xml:space="preserve">Бухара                  </t>
  </si>
  <si>
    <t>Буяга</t>
  </si>
  <si>
    <t xml:space="preserve">Буяга                    </t>
  </si>
  <si>
    <t xml:space="preserve">Буяга                   </t>
  </si>
  <si>
    <t>Бысса</t>
  </si>
  <si>
    <t xml:space="preserve">Бысса                    </t>
  </si>
  <si>
    <t xml:space="preserve">Бысса                   </t>
  </si>
  <si>
    <t>Мурманская область</t>
  </si>
  <si>
    <t>Вайда-Губа</t>
  </si>
  <si>
    <t xml:space="preserve">Вайда-Губа               </t>
  </si>
  <si>
    <t xml:space="preserve">Вайда-Губа              </t>
  </si>
  <si>
    <t>Ванавара -  Эвенкийский АО</t>
  </si>
  <si>
    <t>Ванавара - Эвенкийский АО</t>
  </si>
  <si>
    <t xml:space="preserve">Ванавара - Эвенкийский  </t>
  </si>
  <si>
    <t>Республика Армения</t>
  </si>
  <si>
    <t>Ванадзор</t>
  </si>
  <si>
    <t xml:space="preserve">Ванадзор                 </t>
  </si>
  <si>
    <t xml:space="preserve">Ванадзор                </t>
  </si>
  <si>
    <t>Немецкий АО (Архангельская область)</t>
  </si>
  <si>
    <t>Варандей</t>
  </si>
  <si>
    <t xml:space="preserve">Варандей                 </t>
  </si>
  <si>
    <t xml:space="preserve">Варандей                </t>
  </si>
  <si>
    <t>Гомельская область</t>
  </si>
  <si>
    <t>Василевичи</t>
  </si>
  <si>
    <t xml:space="preserve">Василевичи               </t>
  </si>
  <si>
    <t xml:space="preserve">Василевичи              </t>
  </si>
  <si>
    <t>Псковская область</t>
  </si>
  <si>
    <t xml:space="preserve">Великие Луки             </t>
  </si>
  <si>
    <t xml:space="preserve">Великие Луки            </t>
  </si>
  <si>
    <t xml:space="preserve">Великий Новгород         </t>
  </si>
  <si>
    <t xml:space="preserve">Великий Новгород        </t>
  </si>
  <si>
    <t>Вельмо</t>
  </si>
  <si>
    <t xml:space="preserve">Вельмо                   </t>
  </si>
  <si>
    <t xml:space="preserve">Вельмо                  </t>
  </si>
  <si>
    <t>Республика Коми</t>
  </si>
  <si>
    <t>Вендинга</t>
  </si>
  <si>
    <t xml:space="preserve">Вендинга                 </t>
  </si>
  <si>
    <t xml:space="preserve">Вендинга                </t>
  </si>
  <si>
    <t>Верхнеимбатск</t>
  </si>
  <si>
    <t xml:space="preserve">Верхнеимбатск            </t>
  </si>
  <si>
    <t xml:space="preserve">Верхнеимбатск           </t>
  </si>
  <si>
    <t>Челябинская область</t>
  </si>
  <si>
    <t>Верхнеуральск</t>
  </si>
  <si>
    <t xml:space="preserve">Верхнеуральск            </t>
  </si>
  <si>
    <t xml:space="preserve">Верхнеуральск           </t>
  </si>
  <si>
    <t>Верхний Баскунчак</t>
  </si>
  <si>
    <t xml:space="preserve">Верхний Баскунчак        </t>
  </si>
  <si>
    <t xml:space="preserve">Верхний Баскунчак       </t>
  </si>
  <si>
    <t>Верхняя Гутара</t>
  </si>
  <si>
    <t xml:space="preserve">Верхняя Гутара           </t>
  </si>
  <si>
    <t xml:space="preserve">Верхняя Гутара          </t>
  </si>
  <si>
    <t>Свердловская область</t>
  </si>
  <si>
    <t>Верхотурье</t>
  </si>
  <si>
    <t xml:space="preserve">Верхотурье               </t>
  </si>
  <si>
    <t xml:space="preserve">Верхотурье              </t>
  </si>
  <si>
    <t xml:space="preserve">Верхоянск                </t>
  </si>
  <si>
    <t xml:space="preserve">Верхоянск               </t>
  </si>
  <si>
    <t xml:space="preserve">Вилюйск                  </t>
  </si>
  <si>
    <t xml:space="preserve">Вилюйск                 </t>
  </si>
  <si>
    <t>Винницкая область</t>
  </si>
  <si>
    <t xml:space="preserve">Винница                  </t>
  </si>
  <si>
    <t xml:space="preserve">Винница                 </t>
  </si>
  <si>
    <t>Витебсая область</t>
  </si>
  <si>
    <t>Витебск</t>
  </si>
  <si>
    <t xml:space="preserve">Витебск                  </t>
  </si>
  <si>
    <t xml:space="preserve">Витебск                 </t>
  </si>
  <si>
    <t xml:space="preserve">Витим                    </t>
  </si>
  <si>
    <t xml:space="preserve">Витим                   </t>
  </si>
  <si>
    <t xml:space="preserve">Владивосток              </t>
  </si>
  <si>
    <t xml:space="preserve">Владивосток             </t>
  </si>
  <si>
    <t>Республика Северная Осетия</t>
  </si>
  <si>
    <t>Владикавказ</t>
  </si>
  <si>
    <t xml:space="preserve">Владикавказ              </t>
  </si>
  <si>
    <t xml:space="preserve">Владикавказ             </t>
  </si>
  <si>
    <t>Владимирская область</t>
  </si>
  <si>
    <t xml:space="preserve">Владимир                 </t>
  </si>
  <si>
    <t xml:space="preserve">Владимир                </t>
  </si>
  <si>
    <t>Волгоградская область</t>
  </si>
  <si>
    <t xml:space="preserve">Волгоград                </t>
  </si>
  <si>
    <t xml:space="preserve">Волгоград               </t>
  </si>
  <si>
    <t xml:space="preserve">Вологда                  </t>
  </si>
  <si>
    <t xml:space="preserve">Вологда                 </t>
  </si>
  <si>
    <t>Волочанка</t>
  </si>
  <si>
    <t xml:space="preserve">Волочанка                </t>
  </si>
  <si>
    <t xml:space="preserve">Волочанка               </t>
  </si>
  <si>
    <t>Воркута</t>
  </si>
  <si>
    <t xml:space="preserve">Воркута                  </t>
  </si>
  <si>
    <t xml:space="preserve">Воркута                 </t>
  </si>
  <si>
    <t>Воронежская область</t>
  </si>
  <si>
    <t xml:space="preserve">Воронеж                  </t>
  </si>
  <si>
    <t xml:space="preserve">Воронеж                 </t>
  </si>
  <si>
    <t xml:space="preserve">Воронцово                </t>
  </si>
  <si>
    <t xml:space="preserve">Воронцово               </t>
  </si>
  <si>
    <t>Выкса</t>
  </si>
  <si>
    <t xml:space="preserve">Выкса                    </t>
  </si>
  <si>
    <t xml:space="preserve">Выкса                   </t>
  </si>
  <si>
    <t>Вытегра</t>
  </si>
  <si>
    <t xml:space="preserve">Вытегра                  </t>
  </si>
  <si>
    <t xml:space="preserve">Вытегра                 </t>
  </si>
  <si>
    <t>Вяземский</t>
  </si>
  <si>
    <t xml:space="preserve">Вяземский                </t>
  </si>
  <si>
    <t xml:space="preserve">Вяземский               </t>
  </si>
  <si>
    <t>Смоленсая область</t>
  </si>
  <si>
    <t>Вязьма</t>
  </si>
  <si>
    <t xml:space="preserve">Вязьма                   </t>
  </si>
  <si>
    <t xml:space="preserve">Вязьма                  </t>
  </si>
  <si>
    <t>Кировоградская область</t>
  </si>
  <si>
    <t xml:space="preserve">Гайворон                 </t>
  </si>
  <si>
    <t xml:space="preserve">Гайворон                </t>
  </si>
  <si>
    <t>Джизагская область</t>
  </si>
  <si>
    <t xml:space="preserve">Галляарал                </t>
  </si>
  <si>
    <t xml:space="preserve">Галляарал               </t>
  </si>
  <si>
    <t xml:space="preserve">Ганюшкино                </t>
  </si>
  <si>
    <t xml:space="preserve">Ганюшкино               </t>
  </si>
  <si>
    <t>Республика Таджикистан</t>
  </si>
  <si>
    <t>Районы республиканского подчинения</t>
  </si>
  <si>
    <t>Гарм</t>
  </si>
  <si>
    <t xml:space="preserve">Гарм                 </t>
  </si>
  <si>
    <t xml:space="preserve">Балканская область       </t>
  </si>
  <si>
    <t xml:space="preserve">Гасанкули                </t>
  </si>
  <si>
    <t xml:space="preserve">Гасанкули               </t>
  </si>
  <si>
    <t xml:space="preserve">Гаудан                   </t>
  </si>
  <si>
    <t xml:space="preserve">Гаудан                  </t>
  </si>
  <si>
    <t>Гвасюги</t>
  </si>
  <si>
    <t xml:space="preserve">Гвасюги                  </t>
  </si>
  <si>
    <t xml:space="preserve">Гвасюги                 </t>
  </si>
  <si>
    <t xml:space="preserve">Геническ                 </t>
  </si>
  <si>
    <t xml:space="preserve">Геническ                </t>
  </si>
  <si>
    <t>Удмуртская Республика</t>
  </si>
  <si>
    <t>Глазов</t>
  </si>
  <si>
    <t xml:space="preserve">Глазов                   </t>
  </si>
  <si>
    <t xml:space="preserve">Глазов                  </t>
  </si>
  <si>
    <t>Гомель</t>
  </si>
  <si>
    <t xml:space="preserve">Гомель                   </t>
  </si>
  <si>
    <t xml:space="preserve">Гомель                  </t>
  </si>
  <si>
    <t>Горис</t>
  </si>
  <si>
    <t xml:space="preserve">Горис                    </t>
  </si>
  <si>
    <t xml:space="preserve">Горис                   </t>
  </si>
  <si>
    <t>Могилевская область</t>
  </si>
  <si>
    <t>Горки</t>
  </si>
  <si>
    <t xml:space="preserve">Горки                    </t>
  </si>
  <si>
    <t xml:space="preserve">Горки                   </t>
  </si>
  <si>
    <t xml:space="preserve"> З; СЗ</t>
  </si>
  <si>
    <t>Гош</t>
  </si>
  <si>
    <t xml:space="preserve">Гош                      </t>
  </si>
  <si>
    <t xml:space="preserve">Гош                     </t>
  </si>
  <si>
    <t>Гродненская область</t>
  </si>
  <si>
    <t>Гродно</t>
  </si>
  <si>
    <t xml:space="preserve">Гродно                   </t>
  </si>
  <si>
    <t xml:space="preserve">Гродно                  </t>
  </si>
  <si>
    <t>Чеченская Республика</t>
  </si>
  <si>
    <t>Грозный</t>
  </si>
  <si>
    <t xml:space="preserve">Грозный                  </t>
  </si>
  <si>
    <t xml:space="preserve">Грозный                 </t>
  </si>
  <si>
    <t>Гроссевичи</t>
  </si>
  <si>
    <t xml:space="preserve">Гроссевичи               </t>
  </si>
  <si>
    <t xml:space="preserve">Гроссевичи              </t>
  </si>
  <si>
    <t>Абхазская Республика</t>
  </si>
  <si>
    <t>Гудаута</t>
  </si>
  <si>
    <t xml:space="preserve">Гудаута                  </t>
  </si>
  <si>
    <t xml:space="preserve">Гудаута                 </t>
  </si>
  <si>
    <t>Кашкадарьинская область</t>
  </si>
  <si>
    <t xml:space="preserve">Гузар                    </t>
  </si>
  <si>
    <t xml:space="preserve">Гузар                   </t>
  </si>
  <si>
    <t>Ошская область</t>
  </si>
  <si>
    <t xml:space="preserve">Гульча                   </t>
  </si>
  <si>
    <t xml:space="preserve">Гульча                  </t>
  </si>
  <si>
    <t>Дальнереченск</t>
  </si>
  <si>
    <t xml:space="preserve">Дальнереченск            </t>
  </si>
  <si>
    <t xml:space="preserve">Дальнереченск           </t>
  </si>
  <si>
    <t>Дамбуки</t>
  </si>
  <si>
    <t xml:space="preserve">Дамбуки                  </t>
  </si>
  <si>
    <t xml:space="preserve">Дамбуки                 </t>
  </si>
  <si>
    <t>Дарасун</t>
  </si>
  <si>
    <t xml:space="preserve">Дарасун                  </t>
  </si>
  <si>
    <t xml:space="preserve">Дарасун                 </t>
  </si>
  <si>
    <t xml:space="preserve">Чарджоуская область      </t>
  </si>
  <si>
    <t xml:space="preserve">Дарганата                </t>
  </si>
  <si>
    <t xml:space="preserve">Дарганата               </t>
  </si>
  <si>
    <t>Де-Кастри</t>
  </si>
  <si>
    <t xml:space="preserve">Де-Кастри                </t>
  </si>
  <si>
    <t xml:space="preserve">Де-Кастри               </t>
  </si>
  <si>
    <t>Демьянское - Ханты-Мансийский АО</t>
  </si>
  <si>
    <t xml:space="preserve">Демьянское               </t>
  </si>
  <si>
    <t xml:space="preserve">Демьянское              </t>
  </si>
  <si>
    <t>Сурхандарьинская область</t>
  </si>
  <si>
    <t xml:space="preserve">Денау                    </t>
  </si>
  <si>
    <t xml:space="preserve">Денау                   </t>
  </si>
  <si>
    <t>Республика Дагестан</t>
  </si>
  <si>
    <t>Дербент</t>
  </si>
  <si>
    <t xml:space="preserve">Дербент                  </t>
  </si>
  <si>
    <t xml:space="preserve">Дербент                 </t>
  </si>
  <si>
    <t xml:space="preserve">Джалинда                 </t>
  </si>
  <si>
    <t xml:space="preserve">Джалинда                </t>
  </si>
  <si>
    <t>Северо-КазаКстанская область</t>
  </si>
  <si>
    <t xml:space="preserve">Джамбейты                </t>
  </si>
  <si>
    <t xml:space="preserve">Джамбейты               </t>
  </si>
  <si>
    <t>Джамбулская область</t>
  </si>
  <si>
    <t xml:space="preserve">Джамбул                  </t>
  </si>
  <si>
    <t xml:space="preserve">Джамбул                 </t>
  </si>
  <si>
    <t>Джаорэ</t>
  </si>
  <si>
    <t xml:space="preserve">Джаорэ                   </t>
  </si>
  <si>
    <t xml:space="preserve">Джаорэ                  </t>
  </si>
  <si>
    <t xml:space="preserve">Джарджан                 </t>
  </si>
  <si>
    <t xml:space="preserve">Джарджан                </t>
  </si>
  <si>
    <t xml:space="preserve">Джизак                   </t>
  </si>
  <si>
    <t xml:space="preserve">Джизак                  </t>
  </si>
  <si>
    <t xml:space="preserve">Джикимда                 </t>
  </si>
  <si>
    <t xml:space="preserve">Джикимда                </t>
  </si>
  <si>
    <t>Диксон - Таймырский  АО</t>
  </si>
  <si>
    <t xml:space="preserve">Диксон - Таймырский АО   </t>
  </si>
  <si>
    <t xml:space="preserve">Диксон - Таймырский АО  </t>
  </si>
  <si>
    <t>Московская область</t>
  </si>
  <si>
    <t>Дмитров</t>
  </si>
  <si>
    <t xml:space="preserve">Дмитров                  </t>
  </si>
  <si>
    <t xml:space="preserve">Дмитров                 </t>
  </si>
  <si>
    <t>Днепропетровская область</t>
  </si>
  <si>
    <t xml:space="preserve">Днепропетровск           </t>
  </si>
  <si>
    <t xml:space="preserve">Днепропетровск          </t>
  </si>
  <si>
    <t>Долинск</t>
  </si>
  <si>
    <t xml:space="preserve">Долинск                  </t>
  </si>
  <si>
    <t xml:space="preserve">Долинск                 </t>
  </si>
  <si>
    <t>Донецкая область</t>
  </si>
  <si>
    <t xml:space="preserve">Донецк                   </t>
  </si>
  <si>
    <t xml:space="preserve">Донецк                  </t>
  </si>
  <si>
    <t xml:space="preserve">Дружина                  </t>
  </si>
  <si>
    <t xml:space="preserve">Дружина                 </t>
  </si>
  <si>
    <t>Дубровское</t>
  </si>
  <si>
    <t xml:space="preserve">Дубровское               </t>
  </si>
  <si>
    <t xml:space="preserve">Дубровское              </t>
  </si>
  <si>
    <t>Дуван</t>
  </si>
  <si>
    <t xml:space="preserve">Дуван                    </t>
  </si>
  <si>
    <t xml:space="preserve">Дуван                   </t>
  </si>
  <si>
    <t>Дудинка - Таймырский АО</t>
  </si>
  <si>
    <t xml:space="preserve">Дудинка - Таймырский АО  </t>
  </si>
  <si>
    <t xml:space="preserve">Дудинка - Таймырский АО </t>
  </si>
  <si>
    <t xml:space="preserve">Душанбе   </t>
  </si>
  <si>
    <t xml:space="preserve">Душанбе              </t>
  </si>
  <si>
    <t xml:space="preserve">Душанбе                 </t>
  </si>
  <si>
    <t xml:space="preserve">Екатеринбург             </t>
  </si>
  <si>
    <t xml:space="preserve">Екатеринбург            </t>
  </si>
  <si>
    <t>Екатерино-Никольское</t>
  </si>
  <si>
    <t xml:space="preserve">Екатерино-Никольское     </t>
  </si>
  <si>
    <t xml:space="preserve">Екатерино-Никольское    </t>
  </si>
  <si>
    <t xml:space="preserve">Екючю                    </t>
  </si>
  <si>
    <t xml:space="preserve">Екючю                   </t>
  </si>
  <si>
    <t>Елабуга</t>
  </si>
  <si>
    <t xml:space="preserve">Елабуга                  </t>
  </si>
  <si>
    <t xml:space="preserve">Елабуга                 </t>
  </si>
  <si>
    <t>Емецк</t>
  </si>
  <si>
    <t xml:space="preserve">Емецк                    </t>
  </si>
  <si>
    <t xml:space="preserve">Емецк                   </t>
  </si>
  <si>
    <t>Енисейск</t>
  </si>
  <si>
    <t xml:space="preserve">Енисейск                 </t>
  </si>
  <si>
    <t xml:space="preserve">Енисейск                </t>
  </si>
  <si>
    <t>Ербогачен</t>
  </si>
  <si>
    <t xml:space="preserve">Ербогачен                </t>
  </si>
  <si>
    <t xml:space="preserve">Ербогачен               </t>
  </si>
  <si>
    <t>Ереван</t>
  </si>
  <si>
    <t xml:space="preserve">Ереван                   </t>
  </si>
  <si>
    <t xml:space="preserve">Ереван                  </t>
  </si>
  <si>
    <t>Ерофей Павлович</t>
  </si>
  <si>
    <t xml:space="preserve">Ерофей Павлович          </t>
  </si>
  <si>
    <t xml:space="preserve">Ерофей Павлович         </t>
  </si>
  <si>
    <t>Ессей - Эвенкийский  АО</t>
  </si>
  <si>
    <t xml:space="preserve">Ессей - Эвенкийский АО   </t>
  </si>
  <si>
    <t xml:space="preserve">Ессей - Эвенкийский АО  </t>
  </si>
  <si>
    <t>Ехегнадзор</t>
  </si>
  <si>
    <t xml:space="preserve">Ехегнадзор               </t>
  </si>
  <si>
    <t xml:space="preserve">Ехегнадзор              </t>
  </si>
  <si>
    <t>Талды-Курганская область</t>
  </si>
  <si>
    <t xml:space="preserve">Жаркент                  </t>
  </si>
  <si>
    <t xml:space="preserve">Жаркент                 </t>
  </si>
  <si>
    <t>Жигалово</t>
  </si>
  <si>
    <t xml:space="preserve">Жигалово                 </t>
  </si>
  <si>
    <t xml:space="preserve">Жигалово                </t>
  </si>
  <si>
    <t xml:space="preserve">Жиганск                  </t>
  </si>
  <si>
    <t xml:space="preserve">Жиганск                 </t>
  </si>
  <si>
    <t>Житомирская область</t>
  </si>
  <si>
    <t xml:space="preserve">Житомир                  </t>
  </si>
  <si>
    <t xml:space="preserve">Житомир                 </t>
  </si>
  <si>
    <t>Завитинск</t>
  </si>
  <si>
    <t xml:space="preserve">Завитинск                </t>
  </si>
  <si>
    <t xml:space="preserve">Завитинск               </t>
  </si>
  <si>
    <t>Восточно-КазаКстанская область</t>
  </si>
  <si>
    <t xml:space="preserve">Зайсан                   </t>
  </si>
  <si>
    <t xml:space="preserve">Зайсан                  </t>
  </si>
  <si>
    <t>Запорожская область</t>
  </si>
  <si>
    <t xml:space="preserve">Запорожье                </t>
  </si>
  <si>
    <t xml:space="preserve">Запорожье               </t>
  </si>
  <si>
    <t>Пензенская область</t>
  </si>
  <si>
    <t>Земетчино</t>
  </si>
  <si>
    <t xml:space="preserve">Земетчино                </t>
  </si>
  <si>
    <t xml:space="preserve">Земетчино               </t>
  </si>
  <si>
    <t>Зея</t>
  </si>
  <si>
    <t xml:space="preserve">Зея                      </t>
  </si>
  <si>
    <t xml:space="preserve">Зея                     </t>
  </si>
  <si>
    <t>Зима</t>
  </si>
  <si>
    <t xml:space="preserve">Зима                     </t>
  </si>
  <si>
    <t xml:space="preserve">Зима                    </t>
  </si>
  <si>
    <t>Змеиногорск</t>
  </si>
  <si>
    <t xml:space="preserve">Змеиногорск              </t>
  </si>
  <si>
    <t xml:space="preserve">Змеиногорск             </t>
  </si>
  <si>
    <t xml:space="preserve">Знаменка                 </t>
  </si>
  <si>
    <t xml:space="preserve">Знаменка                </t>
  </si>
  <si>
    <t>Черкасская область</t>
  </si>
  <si>
    <t xml:space="preserve">Золотоноша               </t>
  </si>
  <si>
    <t xml:space="preserve">Золотоноша              </t>
  </si>
  <si>
    <t xml:space="preserve">Зырянка                  </t>
  </si>
  <si>
    <t xml:space="preserve">Зырянка                 </t>
  </si>
  <si>
    <t xml:space="preserve">Зыряновск                </t>
  </si>
  <si>
    <t xml:space="preserve">Зыряновск               </t>
  </si>
  <si>
    <t>Ивановская область</t>
  </si>
  <si>
    <t xml:space="preserve">Иваново                  </t>
  </si>
  <si>
    <t xml:space="preserve">Иваново                 </t>
  </si>
  <si>
    <t>Ивано-Франковская область</t>
  </si>
  <si>
    <t xml:space="preserve">Ивано-Франковск          </t>
  </si>
  <si>
    <t xml:space="preserve">Ивано-Франковск         </t>
  </si>
  <si>
    <t>Ивдель</t>
  </si>
  <si>
    <t xml:space="preserve">Ивдель                   </t>
  </si>
  <si>
    <t xml:space="preserve">Ивдель                  </t>
  </si>
  <si>
    <t>Игарка</t>
  </si>
  <si>
    <t xml:space="preserve">Игарка                   </t>
  </si>
  <si>
    <t xml:space="preserve">Игарка                  </t>
  </si>
  <si>
    <t xml:space="preserve">Ижевск                   </t>
  </si>
  <si>
    <t xml:space="preserve">Ижевск                  </t>
  </si>
  <si>
    <t>Одесская область</t>
  </si>
  <si>
    <t xml:space="preserve">Измаил                   </t>
  </si>
  <si>
    <t xml:space="preserve">Измаил                  </t>
  </si>
  <si>
    <t>Ика</t>
  </si>
  <si>
    <t xml:space="preserve">Ика                      </t>
  </si>
  <si>
    <t xml:space="preserve">Ика                     </t>
  </si>
  <si>
    <t>Илимск</t>
  </si>
  <si>
    <t xml:space="preserve">Илимск                   </t>
  </si>
  <si>
    <t xml:space="preserve">Илимск                  </t>
  </si>
  <si>
    <t>Им. Полины Осипенко</t>
  </si>
  <si>
    <t xml:space="preserve">Им.Полины Осипенко       </t>
  </si>
  <si>
    <t xml:space="preserve">Им. Полины Осипенко     </t>
  </si>
  <si>
    <t xml:space="preserve">Индига                   </t>
  </si>
  <si>
    <t xml:space="preserve">Индига                  </t>
  </si>
  <si>
    <t xml:space="preserve">Иолотань                 </t>
  </si>
  <si>
    <t xml:space="preserve">Иолотань                </t>
  </si>
  <si>
    <t xml:space="preserve">Иркутск                  </t>
  </si>
  <si>
    <t xml:space="preserve">Иркутск                 </t>
  </si>
  <si>
    <t>Омская область</t>
  </si>
  <si>
    <t>Исиль-Куль</t>
  </si>
  <si>
    <t xml:space="preserve">Исиль-Куль               </t>
  </si>
  <si>
    <t xml:space="preserve">Исиль-Куль              </t>
  </si>
  <si>
    <t xml:space="preserve">Исить                    </t>
  </si>
  <si>
    <t xml:space="preserve">Исить                   </t>
  </si>
  <si>
    <t>Ленинабадская область</t>
  </si>
  <si>
    <t>Исфара</t>
  </si>
  <si>
    <t xml:space="preserve">Исфара               </t>
  </si>
  <si>
    <t>Ича - Корякский АО</t>
  </si>
  <si>
    <t xml:space="preserve">Ича - Корякский АО       </t>
  </si>
  <si>
    <t xml:space="preserve">Ича - Корякский АО      </t>
  </si>
  <si>
    <t>Ичера</t>
  </si>
  <si>
    <t xml:space="preserve">Ичера                    </t>
  </si>
  <si>
    <t xml:space="preserve">Ичера                   </t>
  </si>
  <si>
    <t xml:space="preserve">Иэма                     </t>
  </si>
  <si>
    <t xml:space="preserve">Иэма                    </t>
  </si>
  <si>
    <t>Республика Мария Эл</t>
  </si>
  <si>
    <t xml:space="preserve">Йошкар-Ола               </t>
  </si>
  <si>
    <t xml:space="preserve">Йошкар-Ола              </t>
  </si>
  <si>
    <t xml:space="preserve">Казалинск                </t>
  </si>
  <si>
    <t xml:space="preserve">Казалинск               </t>
  </si>
  <si>
    <t xml:space="preserve">Казанджик                </t>
  </si>
  <si>
    <t xml:space="preserve">Казанджик               </t>
  </si>
  <si>
    <t xml:space="preserve">Казань                   </t>
  </si>
  <si>
    <t xml:space="preserve">Казань                  </t>
  </si>
  <si>
    <t>Казбеги</t>
  </si>
  <si>
    <t xml:space="preserve">Казбеги                  </t>
  </si>
  <si>
    <t xml:space="preserve">Казбеги                 </t>
  </si>
  <si>
    <t>Калакан</t>
  </si>
  <si>
    <t xml:space="preserve">Калакан                  </t>
  </si>
  <si>
    <t xml:space="preserve">Калакан                 </t>
  </si>
  <si>
    <t>Калининградская область</t>
  </si>
  <si>
    <t xml:space="preserve">Калининград              </t>
  </si>
  <si>
    <t xml:space="preserve">Калининград             </t>
  </si>
  <si>
    <t>Калужская область</t>
  </si>
  <si>
    <t>Калуга</t>
  </si>
  <si>
    <t xml:space="preserve">Калуга                   </t>
  </si>
  <si>
    <t xml:space="preserve">Калуга                  </t>
  </si>
  <si>
    <t>Каменск-Уральский</t>
  </si>
  <si>
    <t xml:space="preserve">Каменск-Уральский        </t>
  </si>
  <si>
    <t xml:space="preserve">Каменск-Уральский       </t>
  </si>
  <si>
    <t>Камо</t>
  </si>
  <si>
    <t xml:space="preserve">Камо                     </t>
  </si>
  <si>
    <t xml:space="preserve">Камо                    </t>
  </si>
  <si>
    <t>Камышин</t>
  </si>
  <si>
    <t xml:space="preserve">Камышин                  </t>
  </si>
  <si>
    <t xml:space="preserve">   CB    </t>
  </si>
  <si>
    <t xml:space="preserve">Камышин                 </t>
  </si>
  <si>
    <t>Кандалакша</t>
  </si>
  <si>
    <t xml:space="preserve">Кандалакша               </t>
  </si>
  <si>
    <t xml:space="preserve">Кандалакша              </t>
  </si>
  <si>
    <t xml:space="preserve">Канин Нос                </t>
  </si>
  <si>
    <t xml:space="preserve">Канин Нос               </t>
  </si>
  <si>
    <t xml:space="preserve">Канск                    </t>
  </si>
  <si>
    <t xml:space="preserve">Канск                   </t>
  </si>
  <si>
    <t>Карагандинская область</t>
  </si>
  <si>
    <t xml:space="preserve">Караганда                </t>
  </si>
  <si>
    <t xml:space="preserve">Караганда               </t>
  </si>
  <si>
    <t>Каракалпакстан</t>
  </si>
  <si>
    <t xml:space="preserve">Каракалпакия             </t>
  </si>
  <si>
    <t xml:space="preserve">Каракалпакия            </t>
  </si>
  <si>
    <t>Иссык-Кульская область</t>
  </si>
  <si>
    <t xml:space="preserve">Каракол                  </t>
  </si>
  <si>
    <t xml:space="preserve">Каракол                 </t>
  </si>
  <si>
    <t>Карасук</t>
  </si>
  <si>
    <t xml:space="preserve">Карасук                  </t>
  </si>
  <si>
    <t xml:space="preserve">Карасук                 </t>
  </si>
  <si>
    <t xml:space="preserve">Караулкельды             </t>
  </si>
  <si>
    <t xml:space="preserve">Караулкельды            </t>
  </si>
  <si>
    <t xml:space="preserve">Каркаралинск             </t>
  </si>
  <si>
    <t xml:space="preserve">Каркаралинск            </t>
  </si>
  <si>
    <t xml:space="preserve">Карсакпай                </t>
  </si>
  <si>
    <t xml:space="preserve">Карсакпай               </t>
  </si>
  <si>
    <t>Наманганская область</t>
  </si>
  <si>
    <t xml:space="preserve">Касансай                 </t>
  </si>
  <si>
    <t xml:space="preserve">Касансай                </t>
  </si>
  <si>
    <t>Катанда</t>
  </si>
  <si>
    <t xml:space="preserve">Катанда                  </t>
  </si>
  <si>
    <t xml:space="preserve">Катанда                 </t>
  </si>
  <si>
    <t xml:space="preserve">Катон-Карагай            </t>
  </si>
  <si>
    <t xml:space="preserve">Катон-Карагай           </t>
  </si>
  <si>
    <t>Самаркандская область</t>
  </si>
  <si>
    <t xml:space="preserve">Каттакурган              </t>
  </si>
  <si>
    <t xml:space="preserve">Каттакурган             </t>
  </si>
  <si>
    <t>Кафан</t>
  </si>
  <si>
    <t xml:space="preserve">Кафан                    </t>
  </si>
  <si>
    <t xml:space="preserve">Кафан                   </t>
  </si>
  <si>
    <t>Кашира</t>
  </si>
  <si>
    <t xml:space="preserve">Кашира                   </t>
  </si>
  <si>
    <t xml:space="preserve">Кашира                  </t>
  </si>
  <si>
    <t>Кежма</t>
  </si>
  <si>
    <t xml:space="preserve">Кежма                    </t>
  </si>
  <si>
    <t xml:space="preserve">Кежма                   </t>
  </si>
  <si>
    <t>Кемеровская область</t>
  </si>
  <si>
    <t xml:space="preserve">Кемерово                 </t>
  </si>
  <si>
    <t xml:space="preserve">Кемерово                </t>
  </si>
  <si>
    <t>Республика Карелия</t>
  </si>
  <si>
    <t>Кемь</t>
  </si>
  <si>
    <t xml:space="preserve">Кемь                     </t>
  </si>
  <si>
    <t xml:space="preserve">Кемь                    </t>
  </si>
  <si>
    <t xml:space="preserve">Керки                    </t>
  </si>
  <si>
    <t xml:space="preserve">Керки                   </t>
  </si>
  <si>
    <t xml:space="preserve">Кзыл-Орда                </t>
  </si>
  <si>
    <t xml:space="preserve">Кзыл-Орда               </t>
  </si>
  <si>
    <t xml:space="preserve"> С; СВ</t>
  </si>
  <si>
    <t>Киевская область</t>
  </si>
  <si>
    <t xml:space="preserve">Киев                     </t>
  </si>
  <si>
    <t xml:space="preserve">Киев                    </t>
  </si>
  <si>
    <t xml:space="preserve">Кизиларват               </t>
  </si>
  <si>
    <t xml:space="preserve">Кизиларват              </t>
  </si>
  <si>
    <t xml:space="preserve">Кизилатрек               </t>
  </si>
  <si>
    <t xml:space="preserve">Кизилатрек              </t>
  </si>
  <si>
    <t>Кинешма</t>
  </si>
  <si>
    <t xml:space="preserve">Кинешма                  </t>
  </si>
  <si>
    <t xml:space="preserve">Кинешма                 </t>
  </si>
  <si>
    <t>Киренск</t>
  </si>
  <si>
    <t xml:space="preserve">Киренск                  </t>
  </si>
  <si>
    <t xml:space="preserve">Киренск                 </t>
  </si>
  <si>
    <t xml:space="preserve">Кирилловка               </t>
  </si>
  <si>
    <t xml:space="preserve">Кирилловка              </t>
  </si>
  <si>
    <t>Кировская область</t>
  </si>
  <si>
    <t xml:space="preserve">Киров                    </t>
  </si>
  <si>
    <t xml:space="preserve">Киров                   </t>
  </si>
  <si>
    <t xml:space="preserve">Кировоград               </t>
  </si>
  <si>
    <t xml:space="preserve">Кировоград              </t>
  </si>
  <si>
    <t>Кировский</t>
  </si>
  <si>
    <t xml:space="preserve">Кировский                </t>
  </si>
  <si>
    <t xml:space="preserve">Кировский               </t>
  </si>
  <si>
    <t xml:space="preserve">Кировское                </t>
  </si>
  <si>
    <t xml:space="preserve">Кировское               </t>
  </si>
  <si>
    <t>Киселевск</t>
  </si>
  <si>
    <t xml:space="preserve">Киселевск                </t>
  </si>
  <si>
    <t xml:space="preserve">Киселевск               </t>
  </si>
  <si>
    <t>Кисловодск</t>
  </si>
  <si>
    <t xml:space="preserve">Кисловодск               </t>
  </si>
  <si>
    <t xml:space="preserve">  -2.4  </t>
  </si>
  <si>
    <t xml:space="preserve">Кисловодск              </t>
  </si>
  <si>
    <t>Республика Молдова</t>
  </si>
  <si>
    <t xml:space="preserve">Кишинев                  </t>
  </si>
  <si>
    <t xml:space="preserve">Кишинев                 </t>
  </si>
  <si>
    <t xml:space="preserve">Клепинино                </t>
  </si>
  <si>
    <t xml:space="preserve">Клепинино               </t>
  </si>
  <si>
    <t>Ключи</t>
  </si>
  <si>
    <t xml:space="preserve">Ключи                    </t>
  </si>
  <si>
    <t xml:space="preserve">Ключи                   </t>
  </si>
  <si>
    <t>Ковдор</t>
  </si>
  <si>
    <t xml:space="preserve">Ковдор                   </t>
  </si>
  <si>
    <t xml:space="preserve">Ковдор                  </t>
  </si>
  <si>
    <t>Волынская область</t>
  </si>
  <si>
    <t xml:space="preserve">Ковель                   </t>
  </si>
  <si>
    <t xml:space="preserve">Ковель                  </t>
  </si>
  <si>
    <t>Козыревск</t>
  </si>
  <si>
    <t xml:space="preserve">Козыревск                </t>
  </si>
  <si>
    <t xml:space="preserve">Козыревск               </t>
  </si>
  <si>
    <t>Койнас</t>
  </si>
  <si>
    <t xml:space="preserve">Койнас                   </t>
  </si>
  <si>
    <t xml:space="preserve">Койнас                  </t>
  </si>
  <si>
    <t>Ферганская область</t>
  </si>
  <si>
    <t xml:space="preserve">Коканд                   </t>
  </si>
  <si>
    <t xml:space="preserve">Коканд                  </t>
  </si>
  <si>
    <t xml:space="preserve">Кокпекты                 </t>
  </si>
  <si>
    <t xml:space="preserve">Кокпекты                </t>
  </si>
  <si>
    <t>Кокчетавская область</t>
  </si>
  <si>
    <t xml:space="preserve">Кокчетав                 </t>
  </si>
  <si>
    <t xml:space="preserve">Кокчетав                </t>
  </si>
  <si>
    <t>Колпашево</t>
  </si>
  <si>
    <t xml:space="preserve">Колпашево                </t>
  </si>
  <si>
    <t xml:space="preserve">Колпашево               </t>
  </si>
  <si>
    <t xml:space="preserve">Комиссаровка             </t>
  </si>
  <si>
    <t xml:space="preserve">Комиссаровка            </t>
  </si>
  <si>
    <t xml:space="preserve">Комсомольск-на-Амуре     </t>
  </si>
  <si>
    <t xml:space="preserve">Комсомольск-на-Амуре    </t>
  </si>
  <si>
    <t>Кондинское</t>
  </si>
  <si>
    <t xml:space="preserve">Кондинское -             </t>
  </si>
  <si>
    <t xml:space="preserve">Кондинское -            </t>
  </si>
  <si>
    <t>Кондома</t>
  </si>
  <si>
    <t xml:space="preserve">Кондома                  </t>
  </si>
  <si>
    <t xml:space="preserve">Кондома                 </t>
  </si>
  <si>
    <t>Корсаков</t>
  </si>
  <si>
    <t xml:space="preserve">Корсаков                 </t>
  </si>
  <si>
    <t xml:space="preserve">Корсаков                </t>
  </si>
  <si>
    <t>Корф - Корякский АО</t>
  </si>
  <si>
    <t xml:space="preserve">Корф - Корякский АО      </t>
  </si>
  <si>
    <t xml:space="preserve">Корф - Корякский АО     </t>
  </si>
  <si>
    <t>Костромская область</t>
  </si>
  <si>
    <t xml:space="preserve">Кострома                 </t>
  </si>
  <si>
    <t xml:space="preserve">Кострома                </t>
  </si>
  <si>
    <t>Костычевка</t>
  </si>
  <si>
    <t xml:space="preserve">Костычевка               </t>
  </si>
  <si>
    <t xml:space="preserve">Костычевка              </t>
  </si>
  <si>
    <t>Котельниково</t>
  </si>
  <si>
    <t xml:space="preserve">Котельниково             </t>
  </si>
  <si>
    <t xml:space="preserve">Котельниково            </t>
  </si>
  <si>
    <t xml:space="preserve">Коткино                  </t>
  </si>
  <si>
    <t xml:space="preserve">Коткино                 </t>
  </si>
  <si>
    <t>Котлас</t>
  </si>
  <si>
    <t xml:space="preserve">Котлас                   </t>
  </si>
  <si>
    <t xml:space="preserve">Котлас                  </t>
  </si>
  <si>
    <t>Кочки</t>
  </si>
  <si>
    <t xml:space="preserve">Кочки                    </t>
  </si>
  <si>
    <t xml:space="preserve">Кочки                   </t>
  </si>
  <si>
    <t>Нарынская область</t>
  </si>
  <si>
    <t xml:space="preserve">Кочкорка                 </t>
  </si>
  <si>
    <t xml:space="preserve">Кочкорка                </t>
  </si>
  <si>
    <t>Кош-Агач</t>
  </si>
  <si>
    <t xml:space="preserve">Кош-Агач                 </t>
  </si>
  <si>
    <t xml:space="preserve">Кош-Агач                </t>
  </si>
  <si>
    <t>Краснодарский край</t>
  </si>
  <si>
    <t>Красная Поляна</t>
  </si>
  <si>
    <t xml:space="preserve">Красная Поляна           </t>
  </si>
  <si>
    <t xml:space="preserve">Красная Поляна          </t>
  </si>
  <si>
    <t xml:space="preserve">Краснодар                </t>
  </si>
  <si>
    <t xml:space="preserve">Краснодар               </t>
  </si>
  <si>
    <t>Краснощелье</t>
  </si>
  <si>
    <t xml:space="preserve">Краснощелье              </t>
  </si>
  <si>
    <t xml:space="preserve">Краснощелье             </t>
  </si>
  <si>
    <t xml:space="preserve">Красноярск               </t>
  </si>
  <si>
    <t xml:space="preserve">Красноярск              </t>
  </si>
  <si>
    <t>Красный Чикой</t>
  </si>
  <si>
    <t xml:space="preserve">Красный Чикой            </t>
  </si>
  <si>
    <t xml:space="preserve">Красный Чикой           </t>
  </si>
  <si>
    <t>Красный Яр</t>
  </si>
  <si>
    <t xml:space="preserve">Красный Яр               </t>
  </si>
  <si>
    <t xml:space="preserve">Красный Яр              </t>
  </si>
  <si>
    <t>Крестовый перевал</t>
  </si>
  <si>
    <t xml:space="preserve">Крестовый перевал        </t>
  </si>
  <si>
    <t xml:space="preserve">Крестовый перевал       </t>
  </si>
  <si>
    <t xml:space="preserve">Крест-Хальджай           </t>
  </si>
  <si>
    <t xml:space="preserve">Крест-Хальджай          </t>
  </si>
  <si>
    <t xml:space="preserve">Кривой Рог               </t>
  </si>
  <si>
    <t xml:space="preserve">Кривой Рог              </t>
  </si>
  <si>
    <t>Кроноки</t>
  </si>
  <si>
    <t xml:space="preserve">Кроноки                  </t>
  </si>
  <si>
    <t xml:space="preserve">Кроноки                 </t>
  </si>
  <si>
    <t>Оренбургсая область</t>
  </si>
  <si>
    <t>Кувандык</t>
  </si>
  <si>
    <t xml:space="preserve">Кувандык                 </t>
  </si>
  <si>
    <t xml:space="preserve">Кувандык                </t>
  </si>
  <si>
    <t>Хатлонская область</t>
  </si>
  <si>
    <t>Куляб</t>
  </si>
  <si>
    <t xml:space="preserve">Куляб                </t>
  </si>
  <si>
    <t>Купино</t>
  </si>
  <si>
    <t xml:space="preserve">Купино                   </t>
  </si>
  <si>
    <t xml:space="preserve">Купино                  </t>
  </si>
  <si>
    <t>Курганская область</t>
  </si>
  <si>
    <t xml:space="preserve">Курган                   </t>
  </si>
  <si>
    <t xml:space="preserve">Курган                  </t>
  </si>
  <si>
    <t>Курган-Тюбе</t>
  </si>
  <si>
    <t xml:space="preserve">Курган-Тюбе          </t>
  </si>
  <si>
    <t>Курильск</t>
  </si>
  <si>
    <t xml:space="preserve">Курильск                 </t>
  </si>
  <si>
    <t xml:space="preserve">Курильск                </t>
  </si>
  <si>
    <t>Курская область</t>
  </si>
  <si>
    <t>Курск</t>
  </si>
  <si>
    <t xml:space="preserve">Курск                    </t>
  </si>
  <si>
    <t xml:space="preserve">Курск                   </t>
  </si>
  <si>
    <t>Кустанайская область</t>
  </si>
  <si>
    <t xml:space="preserve">Кустанай                 </t>
  </si>
  <si>
    <t xml:space="preserve">Кустанай                </t>
  </si>
  <si>
    <t xml:space="preserve">Кушка                    </t>
  </si>
  <si>
    <t xml:space="preserve">Кушка                   </t>
  </si>
  <si>
    <t>Республика Тыва</t>
  </si>
  <si>
    <t xml:space="preserve">Кызыл                    </t>
  </si>
  <si>
    <t xml:space="preserve">Кызыл                   </t>
  </si>
  <si>
    <t>Кыштовка</t>
  </si>
  <si>
    <t xml:space="preserve">Кыштовка                 </t>
  </si>
  <si>
    <t xml:space="preserve">Кыштовка                </t>
  </si>
  <si>
    <t xml:space="preserve">Кюсюр  </t>
  </si>
  <si>
    <t xml:space="preserve">Кюсюр                    </t>
  </si>
  <si>
    <t xml:space="preserve">Кюсюр                   </t>
  </si>
  <si>
    <t>Кяхта</t>
  </si>
  <si>
    <t xml:space="preserve">Кяхта                    </t>
  </si>
  <si>
    <t xml:space="preserve">Кяхта                   </t>
  </si>
  <si>
    <t xml:space="preserve">Лениногорск              </t>
  </si>
  <si>
    <t xml:space="preserve">Лениногорск             </t>
  </si>
  <si>
    <t xml:space="preserve">Ленск                    </t>
  </si>
  <si>
    <t xml:space="preserve">Ленск                   </t>
  </si>
  <si>
    <t>Леуши</t>
  </si>
  <si>
    <t xml:space="preserve">Леуши                    </t>
  </si>
  <si>
    <t xml:space="preserve">Леуши                   </t>
  </si>
  <si>
    <t>Липецкая область</t>
  </si>
  <si>
    <t xml:space="preserve">Липецк                   </t>
  </si>
  <si>
    <t xml:space="preserve">Липецк                  </t>
  </si>
  <si>
    <t>Ловозеро</t>
  </si>
  <si>
    <t xml:space="preserve">Ловозеро                 </t>
  </si>
  <si>
    <t xml:space="preserve">Ловозеро                </t>
  </si>
  <si>
    <t>Харьковская область</t>
  </si>
  <si>
    <t xml:space="preserve">Лозовая                  </t>
  </si>
  <si>
    <t xml:space="preserve">Лозовая                 </t>
  </si>
  <si>
    <t>Лопатка, мыс</t>
  </si>
  <si>
    <t xml:space="preserve">Лопатка, мыс             </t>
  </si>
  <si>
    <t xml:space="preserve">Лопатка, мыс            </t>
  </si>
  <si>
    <t>Лоухи</t>
  </si>
  <si>
    <t xml:space="preserve">Лоухи                    </t>
  </si>
  <si>
    <t xml:space="preserve">Лоухи                   </t>
  </si>
  <si>
    <t>Полтавская область</t>
  </si>
  <si>
    <t xml:space="preserve">Лубны                    </t>
  </si>
  <si>
    <t xml:space="preserve">Лубны                   </t>
  </si>
  <si>
    <t>Луганская область</t>
  </si>
  <si>
    <t xml:space="preserve">Луганск                  </t>
  </si>
  <si>
    <t xml:space="preserve">Луганск                 </t>
  </si>
  <si>
    <t xml:space="preserve">Луцк                     </t>
  </si>
  <si>
    <t xml:space="preserve">Луцк                    </t>
  </si>
  <si>
    <t>Львовская область</t>
  </si>
  <si>
    <t xml:space="preserve">Львов                    </t>
  </si>
  <si>
    <t xml:space="preserve">Львов                   </t>
  </si>
  <si>
    <t xml:space="preserve">Любашевка                </t>
  </si>
  <si>
    <t xml:space="preserve">Любашевка               </t>
  </si>
  <si>
    <t>Магадан (Нагаева, бухта)</t>
  </si>
  <si>
    <t xml:space="preserve">Магадан (Нагаева, бухта) </t>
  </si>
  <si>
    <t>Республика Адыгея</t>
  </si>
  <si>
    <t>Майкоп</t>
  </si>
  <si>
    <t xml:space="preserve">Майкоп                   </t>
  </si>
  <si>
    <t xml:space="preserve">Майкоп                  </t>
  </si>
  <si>
    <t xml:space="preserve">Макаров                  </t>
  </si>
  <si>
    <t xml:space="preserve">Макаров                 </t>
  </si>
  <si>
    <t>Мама</t>
  </si>
  <si>
    <t xml:space="preserve">Мама                     </t>
  </si>
  <si>
    <t xml:space="preserve">Мама                    </t>
  </si>
  <si>
    <t>Мамисонский перевал</t>
  </si>
  <si>
    <t xml:space="preserve">Мамисонский перевал      </t>
  </si>
  <si>
    <t xml:space="preserve">Мамисонский перевал     </t>
  </si>
  <si>
    <t>Маргаритово</t>
  </si>
  <si>
    <t xml:space="preserve">Маргаритово              </t>
  </si>
  <si>
    <t xml:space="preserve">Маргаритово             </t>
  </si>
  <si>
    <t xml:space="preserve">Мариинск                 </t>
  </si>
  <si>
    <t xml:space="preserve">Мариинск                </t>
  </si>
  <si>
    <t>Марково</t>
  </si>
  <si>
    <t xml:space="preserve">Марково                  </t>
  </si>
  <si>
    <t xml:space="preserve">Марково                 </t>
  </si>
  <si>
    <t>Марресаля</t>
  </si>
  <si>
    <t xml:space="preserve">Марресаля                </t>
  </si>
  <si>
    <t xml:space="preserve">Марресаля               </t>
  </si>
  <si>
    <t xml:space="preserve">Мары                     </t>
  </si>
  <si>
    <t xml:space="preserve">Мары                    </t>
  </si>
  <si>
    <t>Махачкала</t>
  </si>
  <si>
    <t xml:space="preserve">Махачкала                </t>
  </si>
  <si>
    <t xml:space="preserve">Махачкала               </t>
  </si>
  <si>
    <t>Мезень</t>
  </si>
  <si>
    <t xml:space="preserve">Мезень                   </t>
  </si>
  <si>
    <t xml:space="preserve">Мезень                  </t>
  </si>
  <si>
    <t>Мелеуз</t>
  </si>
  <si>
    <t xml:space="preserve">Мелеуз                   </t>
  </si>
  <si>
    <t xml:space="preserve">Мелеуз                  </t>
  </si>
  <si>
    <t>Мельничное</t>
  </si>
  <si>
    <t xml:space="preserve">Мельничное               </t>
  </si>
  <si>
    <t xml:space="preserve">Мельничное              </t>
  </si>
  <si>
    <t>Местиа</t>
  </si>
  <si>
    <t xml:space="preserve">Местиа                   </t>
  </si>
  <si>
    <t xml:space="preserve">Местиа                  </t>
  </si>
  <si>
    <t>Ростовская область</t>
  </si>
  <si>
    <t>Миллерово</t>
  </si>
  <si>
    <t xml:space="preserve">Миллерово                </t>
  </si>
  <si>
    <t xml:space="preserve">Миллерово               </t>
  </si>
  <si>
    <t>Мильково</t>
  </si>
  <si>
    <t xml:space="preserve">Мильково                 </t>
  </si>
  <si>
    <t xml:space="preserve">Мильково                </t>
  </si>
  <si>
    <t>Минская область</t>
  </si>
  <si>
    <t>Минск</t>
  </si>
  <si>
    <t xml:space="preserve">Минск                    </t>
  </si>
  <si>
    <t xml:space="preserve">Минск                   </t>
  </si>
  <si>
    <t>Минусинск</t>
  </si>
  <si>
    <t xml:space="preserve">Минусинск                </t>
  </si>
  <si>
    <t xml:space="preserve">Минусинск               </t>
  </si>
  <si>
    <t>Могилев</t>
  </si>
  <si>
    <t xml:space="preserve">Могилев                  </t>
  </si>
  <si>
    <t xml:space="preserve">Могилев                 </t>
  </si>
  <si>
    <t>Могоча</t>
  </si>
  <si>
    <t xml:space="preserve">Могоча                   </t>
  </si>
  <si>
    <t xml:space="preserve">Могоча                  </t>
  </si>
  <si>
    <t>Монды</t>
  </si>
  <si>
    <t xml:space="preserve">Монды                    </t>
  </si>
  <si>
    <t xml:space="preserve">Монды                   </t>
  </si>
  <si>
    <t>Мончегорск</t>
  </si>
  <si>
    <t xml:space="preserve">Мончегорск               </t>
  </si>
  <si>
    <t xml:space="preserve">Мончегорск              </t>
  </si>
  <si>
    <t xml:space="preserve">Москва                   </t>
  </si>
  <si>
    <t xml:space="preserve">Москва                  </t>
  </si>
  <si>
    <t>Мта-Сабуети</t>
  </si>
  <si>
    <t xml:space="preserve">Мта-Сабуети              </t>
  </si>
  <si>
    <t xml:space="preserve">Мта-Сабуети             </t>
  </si>
  <si>
    <t xml:space="preserve">Мубарек                  </t>
  </si>
  <si>
    <t xml:space="preserve">Мубарек                 </t>
  </si>
  <si>
    <t xml:space="preserve">Муйнак                   </t>
  </si>
  <si>
    <t xml:space="preserve">Муйнак                  </t>
  </si>
  <si>
    <t>Горно-Бадахшанская АО</t>
  </si>
  <si>
    <t>Мургаб</t>
  </si>
  <si>
    <t xml:space="preserve">Мургаб               </t>
  </si>
  <si>
    <t xml:space="preserve">Мурманск                 </t>
  </si>
  <si>
    <t xml:space="preserve">Мурманск                </t>
  </si>
  <si>
    <t>Муром</t>
  </si>
  <si>
    <t xml:space="preserve">Муром                    </t>
  </si>
  <si>
    <t xml:space="preserve">Муром                   </t>
  </si>
  <si>
    <t>Навсийская область</t>
  </si>
  <si>
    <t xml:space="preserve">Навои                    </t>
  </si>
  <si>
    <t xml:space="preserve">Навои                   </t>
  </si>
  <si>
    <t xml:space="preserve">Нагорный                 </t>
  </si>
  <si>
    <t xml:space="preserve">Нагорный                </t>
  </si>
  <si>
    <t>Нагорск</t>
  </si>
  <si>
    <t xml:space="preserve">Нагорское                </t>
  </si>
  <si>
    <t xml:space="preserve">Нагорское               </t>
  </si>
  <si>
    <t>Надым</t>
  </si>
  <si>
    <t xml:space="preserve">Надым                    </t>
  </si>
  <si>
    <t xml:space="preserve">Надым                   </t>
  </si>
  <si>
    <t>Наканно</t>
  </si>
  <si>
    <t xml:space="preserve">Наканно                  </t>
  </si>
  <si>
    <t xml:space="preserve">Наканню                 </t>
  </si>
  <si>
    <t>Бурятский АО Кабардино-Балкарская Республика</t>
  </si>
  <si>
    <t>Нальчик</t>
  </si>
  <si>
    <t xml:space="preserve">Нальчик                  </t>
  </si>
  <si>
    <t xml:space="preserve">Нальчик                 </t>
  </si>
  <si>
    <t xml:space="preserve">Наманган                 </t>
  </si>
  <si>
    <t xml:space="preserve">Наманган                </t>
  </si>
  <si>
    <t xml:space="preserve">Нарын                    </t>
  </si>
  <si>
    <t xml:space="preserve">Нарын                   </t>
  </si>
  <si>
    <t xml:space="preserve">Нарьян-Мар               </t>
  </si>
  <si>
    <t xml:space="preserve">Нарьян-Мар              </t>
  </si>
  <si>
    <t>Начики</t>
  </si>
  <si>
    <t xml:space="preserve">Начики                   </t>
  </si>
  <si>
    <t xml:space="preserve">Начики                  </t>
  </si>
  <si>
    <t xml:space="preserve">Небитдаг                 </t>
  </si>
  <si>
    <t xml:space="preserve">Небитдаг                </t>
  </si>
  <si>
    <t>Невельск</t>
  </si>
  <si>
    <t xml:space="preserve">Невельск                 </t>
  </si>
  <si>
    <t xml:space="preserve">Невельск                </t>
  </si>
  <si>
    <t>Невинномысск</t>
  </si>
  <si>
    <t xml:space="preserve">Невинномысск             </t>
  </si>
  <si>
    <t xml:space="preserve">Невинномысск            </t>
  </si>
  <si>
    <t>Невон</t>
  </si>
  <si>
    <t xml:space="preserve">Невон                    </t>
  </si>
  <si>
    <t xml:space="preserve">Невон                   </t>
  </si>
  <si>
    <t>Непа</t>
  </si>
  <si>
    <t xml:space="preserve">Непа                     </t>
  </si>
  <si>
    <t xml:space="preserve">Непа                    </t>
  </si>
  <si>
    <t xml:space="preserve">Нера                     </t>
  </si>
  <si>
    <t xml:space="preserve">Нера                    </t>
  </si>
  <si>
    <t>Нерчинск</t>
  </si>
  <si>
    <t xml:space="preserve">Нерчинск                 </t>
  </si>
  <si>
    <t xml:space="preserve">Нерчинск                </t>
  </si>
  <si>
    <t>Нерчинский Завод</t>
  </si>
  <si>
    <t xml:space="preserve">Нерчинский Завод         </t>
  </si>
  <si>
    <t xml:space="preserve">Нерчинский Завод        </t>
  </si>
  <si>
    <t>Ниванкюль</t>
  </si>
  <si>
    <t xml:space="preserve">Ниванкюль                </t>
  </si>
  <si>
    <t xml:space="preserve">Ниванкюль               </t>
  </si>
  <si>
    <t>Нижнеангарск</t>
  </si>
  <si>
    <t xml:space="preserve">Нижнеангарск             </t>
  </si>
  <si>
    <t xml:space="preserve">Нижнеангарск            </t>
  </si>
  <si>
    <t>Нижнетамбовское</t>
  </si>
  <si>
    <t xml:space="preserve">Нижнетамбовское          </t>
  </si>
  <si>
    <t xml:space="preserve">Нижнетамбовское         </t>
  </si>
  <si>
    <t xml:space="preserve">Нижний Новгород          </t>
  </si>
  <si>
    <t xml:space="preserve">Нижний Новгород         </t>
  </si>
  <si>
    <t>Николаевская область</t>
  </si>
  <si>
    <t xml:space="preserve">Николаев                 </t>
  </si>
  <si>
    <t xml:space="preserve">Николаев                </t>
  </si>
  <si>
    <t>Николаевск-на-Амуре</t>
  </si>
  <si>
    <t xml:space="preserve">Николаевск-на-Амуре      </t>
  </si>
  <si>
    <t xml:space="preserve">Николаевск-на-Амуре     </t>
  </si>
  <si>
    <t>Никольск</t>
  </si>
  <si>
    <t xml:space="preserve">Никольск                 </t>
  </si>
  <si>
    <t xml:space="preserve">Никольск                </t>
  </si>
  <si>
    <t>Новоаннинский</t>
  </si>
  <si>
    <t xml:space="preserve">Новоаннинский            </t>
  </si>
  <si>
    <t xml:space="preserve">Новоаннинский           </t>
  </si>
  <si>
    <t xml:space="preserve">Новосибирск              </t>
  </si>
  <si>
    <t xml:space="preserve">Новосибирск             </t>
  </si>
  <si>
    <t>Ноглики</t>
  </si>
  <si>
    <t xml:space="preserve">Ноглики                  </t>
  </si>
  <si>
    <t xml:space="preserve">Ноглики                 </t>
  </si>
  <si>
    <t>Ножовка</t>
  </si>
  <si>
    <t xml:space="preserve">Ножовка                  </t>
  </si>
  <si>
    <t xml:space="preserve">Ножовка                 </t>
  </si>
  <si>
    <t xml:space="preserve">           </t>
  </si>
  <si>
    <t>Норск</t>
  </si>
  <si>
    <t xml:space="preserve">Норский Склад            </t>
  </si>
  <si>
    <t xml:space="preserve">Норский Склад           </t>
  </si>
  <si>
    <t xml:space="preserve">Нукус                    </t>
  </si>
  <si>
    <t xml:space="preserve">Нукус                   </t>
  </si>
  <si>
    <t xml:space="preserve">Нурата                   </t>
  </si>
  <si>
    <t xml:space="preserve">Нурата                  </t>
  </si>
  <si>
    <t xml:space="preserve">Нюрба                    </t>
  </si>
  <si>
    <t xml:space="preserve">Нюрба                   </t>
  </si>
  <si>
    <t xml:space="preserve">Нюя                      </t>
  </si>
  <si>
    <t xml:space="preserve">Нюя                     </t>
  </si>
  <si>
    <t>Нязепетровск</t>
  </si>
  <si>
    <t xml:space="preserve">Нязепетровск             </t>
  </si>
  <si>
    <t xml:space="preserve">Нязепетровск            </t>
  </si>
  <si>
    <t>О.Беринга</t>
  </si>
  <si>
    <t xml:space="preserve">о.Беринга                </t>
  </si>
  <si>
    <t xml:space="preserve">о.Беринга               </t>
  </si>
  <si>
    <t>Облучье</t>
  </si>
  <si>
    <t xml:space="preserve">Облучье                  </t>
  </si>
  <si>
    <t xml:space="preserve">Облучье                 </t>
  </si>
  <si>
    <t>Объячево</t>
  </si>
  <si>
    <t xml:space="preserve">Объячево                 </t>
  </si>
  <si>
    <t xml:space="preserve">Объячево                </t>
  </si>
  <si>
    <t xml:space="preserve">Овруч                    </t>
  </si>
  <si>
    <t xml:space="preserve">Овруч                   </t>
  </si>
  <si>
    <t>Огорон</t>
  </si>
  <si>
    <t xml:space="preserve">Огорон                   </t>
  </si>
  <si>
    <t xml:space="preserve">Огорон                  </t>
  </si>
  <si>
    <t xml:space="preserve">Одесса                   </t>
  </si>
  <si>
    <t xml:space="preserve">Одесса                  </t>
  </si>
  <si>
    <t xml:space="preserve">Оймякон                  </t>
  </si>
  <si>
    <t xml:space="preserve">Оймякон                 </t>
  </si>
  <si>
    <t>Октябрьская</t>
  </si>
  <si>
    <t xml:space="preserve">Октябрьская              </t>
  </si>
  <si>
    <t xml:space="preserve">Октябрьская             </t>
  </si>
  <si>
    <t>Октябрьское</t>
  </si>
  <si>
    <t xml:space="preserve">Октябрьское              </t>
  </si>
  <si>
    <t xml:space="preserve">Октябрьское             </t>
  </si>
  <si>
    <t xml:space="preserve">Олекминск                </t>
  </si>
  <si>
    <t xml:space="preserve">Олекминск               </t>
  </si>
  <si>
    <t xml:space="preserve">Оленек                   </t>
  </si>
  <si>
    <t xml:space="preserve">Оленек                  </t>
  </si>
  <si>
    <t>Олонец</t>
  </si>
  <si>
    <t xml:space="preserve">Олонец                   </t>
  </si>
  <si>
    <t xml:space="preserve">Олонец                  </t>
  </si>
  <si>
    <t>Омолон</t>
  </si>
  <si>
    <t xml:space="preserve">Омолон                   </t>
  </si>
  <si>
    <t xml:space="preserve">Омолон                  </t>
  </si>
  <si>
    <t xml:space="preserve">Омск                     </t>
  </si>
  <si>
    <t xml:space="preserve">Омск                    </t>
  </si>
  <si>
    <t>Омсукчан</t>
  </si>
  <si>
    <t xml:space="preserve">Омсукчан                 </t>
  </si>
  <si>
    <t xml:space="preserve">Омсукчан                </t>
  </si>
  <si>
    <t>Онгудай</t>
  </si>
  <si>
    <t xml:space="preserve">Онгудай                  </t>
  </si>
  <si>
    <t xml:space="preserve">Онгудай                 </t>
  </si>
  <si>
    <t>Онега</t>
  </si>
  <si>
    <t xml:space="preserve">Онега                    </t>
  </si>
  <si>
    <t xml:space="preserve">Онега                   </t>
  </si>
  <si>
    <t>Орловская область</t>
  </si>
  <si>
    <t>Орел</t>
  </si>
  <si>
    <t xml:space="preserve">Орел                     </t>
  </si>
  <si>
    <t xml:space="preserve">Орел                    </t>
  </si>
  <si>
    <t xml:space="preserve">Оренбург                 </t>
  </si>
  <si>
    <t xml:space="preserve">Оренбург                </t>
  </si>
  <si>
    <t>Орлинга</t>
  </si>
  <si>
    <t xml:space="preserve">Орлинга                  </t>
  </si>
  <si>
    <t xml:space="preserve">Орлинга                 </t>
  </si>
  <si>
    <t>Оссора - Корякский АО</t>
  </si>
  <si>
    <t xml:space="preserve">Оссора - Корякский АО    </t>
  </si>
  <si>
    <t xml:space="preserve">Оссора - Корякский АО   </t>
  </si>
  <si>
    <t>Островное</t>
  </si>
  <si>
    <t xml:space="preserve">Островное                </t>
  </si>
  <si>
    <t xml:space="preserve">Островное               </t>
  </si>
  <si>
    <t>Оха</t>
  </si>
  <si>
    <t xml:space="preserve">Оха                      </t>
  </si>
  <si>
    <t xml:space="preserve">Оха                     </t>
  </si>
  <si>
    <t>Охотск</t>
  </si>
  <si>
    <t xml:space="preserve">Охотск                   </t>
  </si>
  <si>
    <t xml:space="preserve">Охотск                  </t>
  </si>
  <si>
    <t xml:space="preserve">Охотский Перевоз         </t>
  </si>
  <si>
    <t xml:space="preserve">Охотский Перевоз        </t>
  </si>
  <si>
    <t xml:space="preserve">Ош                       </t>
  </si>
  <si>
    <t xml:space="preserve">Ош                      </t>
  </si>
  <si>
    <t xml:space="preserve">Павлодар                 </t>
  </si>
  <si>
    <t xml:space="preserve">Павлодар                </t>
  </si>
  <si>
    <t>Паданы</t>
  </si>
  <si>
    <t xml:space="preserve">Паданы                   </t>
  </si>
  <si>
    <t xml:space="preserve">Паданы                  </t>
  </si>
  <si>
    <t>Палатка</t>
  </si>
  <si>
    <t xml:space="preserve">Палатка                  </t>
  </si>
  <si>
    <t xml:space="preserve">Палатка                 </t>
  </si>
  <si>
    <t>Партизанск</t>
  </si>
  <si>
    <t xml:space="preserve">Партизанск               </t>
  </si>
  <si>
    <t xml:space="preserve">Партизанск              </t>
  </si>
  <si>
    <t>Пенджикент</t>
  </si>
  <si>
    <t xml:space="preserve">Пенджикент           </t>
  </si>
  <si>
    <t xml:space="preserve">Пенза                    </t>
  </si>
  <si>
    <t xml:space="preserve">Пенза                   </t>
  </si>
  <si>
    <t>Перевоз</t>
  </si>
  <si>
    <t xml:space="preserve">Перевоз                  </t>
  </si>
  <si>
    <t xml:space="preserve">Перевоз                 </t>
  </si>
  <si>
    <t xml:space="preserve">Пермь                    </t>
  </si>
  <si>
    <t xml:space="preserve">Пермь                   </t>
  </si>
  <si>
    <t xml:space="preserve">Петрозаводск             </t>
  </si>
  <si>
    <t xml:space="preserve">Петрозаводск            </t>
  </si>
  <si>
    <t xml:space="preserve">Петропавловск            </t>
  </si>
  <si>
    <t xml:space="preserve">Петропавловск           </t>
  </si>
  <si>
    <t xml:space="preserve">     </t>
  </si>
  <si>
    <t>Петропавловск-Камчатский</t>
  </si>
  <si>
    <t xml:space="preserve">Петропавловск-Камчатский </t>
  </si>
  <si>
    <t>Петрунь</t>
  </si>
  <si>
    <t xml:space="preserve">Петрунь                  </t>
  </si>
  <si>
    <t xml:space="preserve">Петрунь                 </t>
  </si>
  <si>
    <t>Печора</t>
  </si>
  <si>
    <t xml:space="preserve">Печора                   </t>
  </si>
  <si>
    <t xml:space="preserve">Печора                  </t>
  </si>
  <si>
    <t>Погиби</t>
  </si>
  <si>
    <t xml:space="preserve">Погиби                   </t>
  </si>
  <si>
    <t xml:space="preserve">Погиби                  </t>
  </si>
  <si>
    <t>Полоцк</t>
  </si>
  <si>
    <t xml:space="preserve">Полоцк                   </t>
  </si>
  <si>
    <t xml:space="preserve">Полоцк                  </t>
  </si>
  <si>
    <t xml:space="preserve">Полтава                  </t>
  </si>
  <si>
    <t xml:space="preserve">Полтава                 </t>
  </si>
  <si>
    <t>Чувашская Республика</t>
  </si>
  <si>
    <t>Порецкое</t>
  </si>
  <si>
    <t xml:space="preserve">Порецкое                 </t>
  </si>
  <si>
    <t xml:space="preserve">Порецкое                </t>
  </si>
  <si>
    <t>Поронайск</t>
  </si>
  <si>
    <t xml:space="preserve">Поронайск                </t>
  </si>
  <si>
    <t xml:space="preserve">Поронайск               </t>
  </si>
  <si>
    <t>Посьет</t>
  </si>
  <si>
    <t xml:space="preserve">Посьет                   </t>
  </si>
  <si>
    <t xml:space="preserve">Посьет                  </t>
  </si>
  <si>
    <t>Поти</t>
  </si>
  <si>
    <t xml:space="preserve">Поти                     </t>
  </si>
  <si>
    <t xml:space="preserve">Поти                    </t>
  </si>
  <si>
    <t xml:space="preserve">Поярково </t>
  </si>
  <si>
    <t xml:space="preserve">Поярково                 </t>
  </si>
  <si>
    <t xml:space="preserve">Поярково                </t>
  </si>
  <si>
    <t>Преображение</t>
  </si>
  <si>
    <t xml:space="preserve">Преображение             </t>
  </si>
  <si>
    <t xml:space="preserve">Преображение            </t>
  </si>
  <si>
    <t>Преображенка</t>
  </si>
  <si>
    <t xml:space="preserve">Преображенка             </t>
  </si>
  <si>
    <t xml:space="preserve">Преображенка            </t>
  </si>
  <si>
    <t>Приморско-Ахтарск</t>
  </si>
  <si>
    <t xml:space="preserve">Приморско-Ахтарск        </t>
  </si>
  <si>
    <t xml:space="preserve">Приморско-Ахтарск       </t>
  </si>
  <si>
    <t xml:space="preserve">Псков                    </t>
  </si>
  <si>
    <t xml:space="preserve">Псков                   </t>
  </si>
  <si>
    <t>Псху</t>
  </si>
  <si>
    <t xml:space="preserve">Псху                     </t>
  </si>
  <si>
    <t xml:space="preserve">Псху                    </t>
  </si>
  <si>
    <t>Пулозеро</t>
  </si>
  <si>
    <t xml:space="preserve">Пулозеро                 </t>
  </si>
  <si>
    <t xml:space="preserve">Пулозеро                </t>
  </si>
  <si>
    <t>Пялица</t>
  </si>
  <si>
    <t xml:space="preserve">Пялица                   </t>
  </si>
  <si>
    <t xml:space="preserve">Пялица                  </t>
  </si>
  <si>
    <t>Пятигорск</t>
  </si>
  <si>
    <t xml:space="preserve">Пятигорск                </t>
  </si>
  <si>
    <t xml:space="preserve">Пятигорск               </t>
  </si>
  <si>
    <t xml:space="preserve">Раздельное               </t>
  </si>
  <si>
    <t xml:space="preserve">Раздельное              </t>
  </si>
  <si>
    <t>Реболы</t>
  </si>
  <si>
    <t xml:space="preserve">Реболы                   </t>
  </si>
  <si>
    <t xml:space="preserve">Реболы                  </t>
  </si>
  <si>
    <t xml:space="preserve">Репетек                  </t>
  </si>
  <si>
    <t xml:space="preserve">Репетек                 </t>
  </si>
  <si>
    <t>Ржев</t>
  </si>
  <si>
    <t xml:space="preserve">Ржев                     </t>
  </si>
  <si>
    <t xml:space="preserve">Ржев                    </t>
  </si>
  <si>
    <t>Ровенская область</t>
  </si>
  <si>
    <t xml:space="preserve">Ровно                    </t>
  </si>
  <si>
    <t xml:space="preserve">Ровно                   </t>
  </si>
  <si>
    <t>Родино</t>
  </si>
  <si>
    <t xml:space="preserve">Родино                   </t>
  </si>
  <si>
    <t xml:space="preserve">Родино                  </t>
  </si>
  <si>
    <t>Сумская область</t>
  </si>
  <si>
    <t xml:space="preserve">Ромны                    </t>
  </si>
  <si>
    <t xml:space="preserve">Ромны                   </t>
  </si>
  <si>
    <t xml:space="preserve">Ростов-на-Дону           </t>
  </si>
  <si>
    <t xml:space="preserve">Ростов-на-Дону          </t>
  </si>
  <si>
    <t xml:space="preserve">Рубцовск                 </t>
  </si>
  <si>
    <t xml:space="preserve">Рубцовск                </t>
  </si>
  <si>
    <t>Рудная Пристань</t>
  </si>
  <si>
    <t xml:space="preserve">Рудная Пристань          </t>
  </si>
  <si>
    <t xml:space="preserve">Рудная Пристань         </t>
  </si>
  <si>
    <t>Рыбновск</t>
  </si>
  <si>
    <t xml:space="preserve">Рыбновск                 </t>
  </si>
  <si>
    <t xml:space="preserve">Рыбновск                </t>
  </si>
  <si>
    <t>Рязанская область</t>
  </si>
  <si>
    <t xml:space="preserve">Рязань                   </t>
  </si>
  <si>
    <t xml:space="preserve">Рязань                  </t>
  </si>
  <si>
    <t>Савали</t>
  </si>
  <si>
    <t xml:space="preserve">Савали                   </t>
  </si>
  <si>
    <t xml:space="preserve">Савали                  </t>
  </si>
  <si>
    <t>Сакара</t>
  </si>
  <si>
    <t xml:space="preserve">Сакара                   </t>
  </si>
  <si>
    <t xml:space="preserve">Сакара                  </t>
  </si>
  <si>
    <t>Салехард</t>
  </si>
  <si>
    <t xml:space="preserve">Салехард                 </t>
  </si>
  <si>
    <t xml:space="preserve">Салехард                </t>
  </si>
  <si>
    <t>Самарская область</t>
  </si>
  <si>
    <t xml:space="preserve">Самара                   </t>
  </si>
  <si>
    <t xml:space="preserve">Самара                  </t>
  </si>
  <si>
    <t xml:space="preserve">Самарканд                </t>
  </si>
  <si>
    <t xml:space="preserve">Самарканд               </t>
  </si>
  <si>
    <t>Самтредиа</t>
  </si>
  <si>
    <t xml:space="preserve">Самтредиа                </t>
  </si>
  <si>
    <t xml:space="preserve">Самтредиа               </t>
  </si>
  <si>
    <t xml:space="preserve">Сангар                   </t>
  </si>
  <si>
    <t xml:space="preserve">Сангар                  </t>
  </si>
  <si>
    <t>Ленинградская область</t>
  </si>
  <si>
    <t xml:space="preserve">Санкт-Петербург          </t>
  </si>
  <si>
    <t xml:space="preserve">Санкт-Петербург         </t>
  </si>
  <si>
    <t>Республика Мордовия</t>
  </si>
  <si>
    <t xml:space="preserve">Саранск                  </t>
  </si>
  <si>
    <t xml:space="preserve">Саранск                 </t>
  </si>
  <si>
    <t>Сарапул</t>
  </si>
  <si>
    <t xml:space="preserve">Сарапул                  </t>
  </si>
  <si>
    <t xml:space="preserve">Сарапул                 </t>
  </si>
  <si>
    <t xml:space="preserve">Сарата                   </t>
  </si>
  <si>
    <t xml:space="preserve">Сарата                  </t>
  </si>
  <si>
    <t xml:space="preserve">Саратов                  </t>
  </si>
  <si>
    <t xml:space="preserve">Саратов                 </t>
  </si>
  <si>
    <t xml:space="preserve">Сарны                    </t>
  </si>
  <si>
    <t xml:space="preserve">          </t>
  </si>
  <si>
    <t xml:space="preserve">Сарны                   </t>
  </si>
  <si>
    <t xml:space="preserve">Саскылах                 </t>
  </si>
  <si>
    <t xml:space="preserve">Саскылах                </t>
  </si>
  <si>
    <t>Свирица</t>
  </si>
  <si>
    <t xml:space="preserve">Свирица                  </t>
  </si>
  <si>
    <t xml:space="preserve">Свирица                 </t>
  </si>
  <si>
    <t>Свободный</t>
  </si>
  <si>
    <t xml:space="preserve">Свободный                </t>
  </si>
  <si>
    <t xml:space="preserve">Свободный               </t>
  </si>
  <si>
    <t>Севан</t>
  </si>
  <si>
    <t xml:space="preserve">Севан                    </t>
  </si>
  <si>
    <t xml:space="preserve">Севан                   </t>
  </si>
  <si>
    <t xml:space="preserve">Семипалатинск            </t>
  </si>
  <si>
    <t xml:space="preserve">Семипалатинск           </t>
  </si>
  <si>
    <t>Семлячики</t>
  </si>
  <si>
    <t xml:space="preserve">Семлячики                </t>
  </si>
  <si>
    <t xml:space="preserve">Семлячики               </t>
  </si>
  <si>
    <t xml:space="preserve">Серахс                   </t>
  </si>
  <si>
    <t xml:space="preserve">Серахс                  </t>
  </si>
  <si>
    <t>Сизиман</t>
  </si>
  <si>
    <t xml:space="preserve">Сизиман                  </t>
  </si>
  <si>
    <t xml:space="preserve">Сизиман                 </t>
  </si>
  <si>
    <t xml:space="preserve">Симферополь              </t>
  </si>
  <si>
    <t xml:space="preserve">Симферополь             </t>
  </si>
  <si>
    <t>Сисиан</t>
  </si>
  <si>
    <t xml:space="preserve">Сисиан                   </t>
  </si>
  <si>
    <t xml:space="preserve">Сисиан                  </t>
  </si>
  <si>
    <t xml:space="preserve">Сковородино              </t>
  </si>
  <si>
    <t xml:space="preserve">Сковородино             </t>
  </si>
  <si>
    <t xml:space="preserve">Славгород                </t>
  </si>
  <si>
    <t xml:space="preserve">Славгород               </t>
  </si>
  <si>
    <t>Слюдянка</t>
  </si>
  <si>
    <t xml:space="preserve">Слюдянка                 </t>
  </si>
  <si>
    <t xml:space="preserve">Слюдянка                </t>
  </si>
  <si>
    <t>Смоленск</t>
  </si>
  <si>
    <t xml:space="preserve">Смоленск                 </t>
  </si>
  <si>
    <t xml:space="preserve">Смоленск                </t>
  </si>
  <si>
    <t>Соболево</t>
  </si>
  <si>
    <t xml:space="preserve">Соболево                 </t>
  </si>
  <si>
    <t xml:space="preserve">Соболево                </t>
  </si>
  <si>
    <t>Советская Гавань</t>
  </si>
  <si>
    <t xml:space="preserve">Советская Гавань         </t>
  </si>
  <si>
    <t xml:space="preserve">Советская Гавань        </t>
  </si>
  <si>
    <t>Сорочинск</t>
  </si>
  <si>
    <t xml:space="preserve">Сорочинск                </t>
  </si>
  <si>
    <t xml:space="preserve">Сорочинск               </t>
  </si>
  <si>
    <t>Сортавала</t>
  </si>
  <si>
    <t>1 8,1</t>
  </si>
  <si>
    <t xml:space="preserve">Сортавала                </t>
  </si>
  <si>
    <t xml:space="preserve">Сортавала               </t>
  </si>
  <si>
    <t>Сосново-Озерское</t>
  </si>
  <si>
    <t xml:space="preserve">Сосново-Озерское         </t>
  </si>
  <si>
    <t xml:space="preserve">Сосново-Озерское        </t>
  </si>
  <si>
    <t>Сосуново</t>
  </si>
  <si>
    <t xml:space="preserve">Сосуново                 </t>
  </si>
  <si>
    <t xml:space="preserve">Сосуново                </t>
  </si>
  <si>
    <t>Сосьва</t>
  </si>
  <si>
    <t xml:space="preserve">Сосьва                   </t>
  </si>
  <si>
    <t xml:space="preserve">Сосьва                  </t>
  </si>
  <si>
    <t>Софийский Прииск</t>
  </si>
  <si>
    <t xml:space="preserve">Софийский Прииск         </t>
  </si>
  <si>
    <t xml:space="preserve">Софийский Прииск        </t>
  </si>
  <si>
    <t>Сочи</t>
  </si>
  <si>
    <t xml:space="preserve">Сочи                     </t>
  </si>
  <si>
    <t xml:space="preserve">Сочи                    </t>
  </si>
  <si>
    <t>Спитак</t>
  </si>
  <si>
    <t xml:space="preserve">Спитак                   </t>
  </si>
  <si>
    <t xml:space="preserve">Спитак                  </t>
  </si>
  <si>
    <t>Среднекан</t>
  </si>
  <si>
    <t xml:space="preserve">Среднекан                </t>
  </si>
  <si>
    <t xml:space="preserve">Среднекан               </t>
  </si>
  <si>
    <t xml:space="preserve">Среднеколымск            </t>
  </si>
  <si>
    <t xml:space="preserve">Среднеколымск           </t>
  </si>
  <si>
    <t>Средний Васюган</t>
  </si>
  <si>
    <t xml:space="preserve">Средний Васюган          </t>
  </si>
  <si>
    <t xml:space="preserve">Средний Васюган         </t>
  </si>
  <si>
    <t>Средний Калар</t>
  </si>
  <si>
    <t xml:space="preserve">Средний Калар            </t>
  </si>
  <si>
    <t xml:space="preserve">Средний Калар           </t>
  </si>
  <si>
    <t>Средний Ургал</t>
  </si>
  <si>
    <t xml:space="preserve">Средний Ургал            </t>
  </si>
  <si>
    <t xml:space="preserve">Средний Ургал           </t>
  </si>
  <si>
    <t>Средняя Нюкжа</t>
  </si>
  <si>
    <t xml:space="preserve">Средняя Нюкжа            </t>
  </si>
  <si>
    <t xml:space="preserve">Средняя Нюкжа           </t>
  </si>
  <si>
    <t xml:space="preserve">Ставрополь               </t>
  </si>
  <si>
    <t xml:space="preserve">Ставрополь              </t>
  </si>
  <si>
    <t>Степанаван</t>
  </si>
  <si>
    <t xml:space="preserve">Степанаван               </t>
  </si>
  <si>
    <t xml:space="preserve">Степанаван              </t>
  </si>
  <si>
    <t xml:space="preserve">Сумы                     </t>
  </si>
  <si>
    <t xml:space="preserve">Сумы                    </t>
  </si>
  <si>
    <t xml:space="preserve">Сунтар                   </t>
  </si>
  <si>
    <t xml:space="preserve">Сунтар                  </t>
  </si>
  <si>
    <t>Сургут -  Ханты-Мансийский АО</t>
  </si>
  <si>
    <t>Сургут - Ханты-Мансийский</t>
  </si>
  <si>
    <t xml:space="preserve">Сургут -                </t>
  </si>
  <si>
    <t>Ульяновская область</t>
  </si>
  <si>
    <t>Сурское</t>
  </si>
  <si>
    <t xml:space="preserve">Сурское                  </t>
  </si>
  <si>
    <t xml:space="preserve">Сурское                 </t>
  </si>
  <si>
    <t xml:space="preserve">Сусамыр                  </t>
  </si>
  <si>
    <t xml:space="preserve">Сусамыр                 </t>
  </si>
  <si>
    <t>Сусуман</t>
  </si>
  <si>
    <t xml:space="preserve">Сусуман                  </t>
  </si>
  <si>
    <t xml:space="preserve">Сусуман                 </t>
  </si>
  <si>
    <t xml:space="preserve">Сухана                   </t>
  </si>
  <si>
    <t xml:space="preserve">Сухана                  </t>
  </si>
  <si>
    <t>Сухуми</t>
  </si>
  <si>
    <t xml:space="preserve">Сухуми                   </t>
  </si>
  <si>
    <t xml:space="preserve">Сухуми                  </t>
  </si>
  <si>
    <t>Сыктывкар</t>
  </si>
  <si>
    <t xml:space="preserve">Сыктывкар                </t>
  </si>
  <si>
    <t xml:space="preserve">Сыктывкар               </t>
  </si>
  <si>
    <t>Сырдарьинская область</t>
  </si>
  <si>
    <t xml:space="preserve">Сырдарья                 </t>
  </si>
  <si>
    <t xml:space="preserve">Сырдарья                </t>
  </si>
  <si>
    <t xml:space="preserve">Сюльдюкар                </t>
  </si>
  <si>
    <t xml:space="preserve">Сюльдюкар               </t>
  </si>
  <si>
    <t xml:space="preserve">Сюрен-Кюель              </t>
  </si>
  <si>
    <t xml:space="preserve">Сюрен-Кюель             </t>
  </si>
  <si>
    <t>Таганрог</t>
  </si>
  <si>
    <t xml:space="preserve">Таганрог                 </t>
  </si>
  <si>
    <t xml:space="preserve">Таганрог                </t>
  </si>
  <si>
    <t>Таимба</t>
  </si>
  <si>
    <t xml:space="preserve">Таимба                   </t>
  </si>
  <si>
    <t xml:space="preserve">Таимба                  </t>
  </si>
  <si>
    <t>Тайга</t>
  </si>
  <si>
    <t xml:space="preserve">Тайга                    </t>
  </si>
  <si>
    <t xml:space="preserve">Тайга                   </t>
  </si>
  <si>
    <t>Тайшет</t>
  </si>
  <si>
    <t xml:space="preserve">Тайшет                   </t>
  </si>
  <si>
    <t xml:space="preserve">Тайшет                  </t>
  </si>
  <si>
    <t>Таласская область</t>
  </si>
  <si>
    <t xml:space="preserve">Талас                    </t>
  </si>
  <si>
    <t xml:space="preserve">Талас                   </t>
  </si>
  <si>
    <t xml:space="preserve">Талды-Курган             </t>
  </si>
  <si>
    <t xml:space="preserve">Талды-Курган            </t>
  </si>
  <si>
    <t xml:space="preserve">         </t>
  </si>
  <si>
    <t>Тамбовская область</t>
  </si>
  <si>
    <t>Тамбов</t>
  </si>
  <si>
    <t xml:space="preserve">Тамбов                   </t>
  </si>
  <si>
    <t xml:space="preserve">Тамбов                  </t>
  </si>
  <si>
    <t>Тара</t>
  </si>
  <si>
    <t xml:space="preserve">Тара                     </t>
  </si>
  <si>
    <t xml:space="preserve">Тара                    </t>
  </si>
  <si>
    <t>Тарко-Сале - Ханты-Мансийский АО</t>
  </si>
  <si>
    <t xml:space="preserve">Тарко-Сале -             </t>
  </si>
  <si>
    <t xml:space="preserve">Тарко-Сале -            </t>
  </si>
  <si>
    <t>Татарск</t>
  </si>
  <si>
    <t xml:space="preserve">Татарск                  </t>
  </si>
  <si>
    <t xml:space="preserve">Татарск                 </t>
  </si>
  <si>
    <t xml:space="preserve">Тахтабазар               </t>
  </si>
  <si>
    <t xml:space="preserve">Тахтабазар              </t>
  </si>
  <si>
    <t xml:space="preserve">Ташаузская область       </t>
  </si>
  <si>
    <t xml:space="preserve">Ташауз                   </t>
  </si>
  <si>
    <t xml:space="preserve">Ташауз                  </t>
  </si>
  <si>
    <t>Ташкентская область</t>
  </si>
  <si>
    <t xml:space="preserve">Ташкент                  </t>
  </si>
  <si>
    <t xml:space="preserve">Ташкент                 </t>
  </si>
  <si>
    <t>Тбилиси</t>
  </si>
  <si>
    <t xml:space="preserve">Тбилиси                  </t>
  </si>
  <si>
    <t xml:space="preserve">Тбилиси                 </t>
  </si>
  <si>
    <t>Тверь</t>
  </si>
  <si>
    <t xml:space="preserve">Тверь                    </t>
  </si>
  <si>
    <t xml:space="preserve">Тверь                   </t>
  </si>
  <si>
    <t xml:space="preserve">Теджен                   </t>
  </si>
  <si>
    <t xml:space="preserve">Теджен                  </t>
  </si>
  <si>
    <t>Телави</t>
  </si>
  <si>
    <t xml:space="preserve">Телави                   </t>
  </si>
  <si>
    <t xml:space="preserve">Телави                  </t>
  </si>
  <si>
    <t>Териберка</t>
  </si>
  <si>
    <t xml:space="preserve">Териберка                </t>
  </si>
  <si>
    <t xml:space="preserve">Териберка               </t>
  </si>
  <si>
    <t xml:space="preserve">Термез                   </t>
  </si>
  <si>
    <t xml:space="preserve">Термез                  </t>
  </si>
  <si>
    <t>Тернопольская оьласть</t>
  </si>
  <si>
    <t xml:space="preserve">Тернополь                </t>
  </si>
  <si>
    <t xml:space="preserve">Тернополь               </t>
  </si>
  <si>
    <t>Терско-Орловский</t>
  </si>
  <si>
    <t xml:space="preserve">Терско-Орловский         </t>
  </si>
  <si>
    <t xml:space="preserve">Терско-Орловский        </t>
  </si>
  <si>
    <t>Тисуль</t>
  </si>
  <si>
    <t xml:space="preserve">Тисуль                   </t>
  </si>
  <si>
    <t xml:space="preserve">Тисуль                  </t>
  </si>
  <si>
    <t>Тихвин</t>
  </si>
  <si>
    <t xml:space="preserve">Тихвин                   </t>
  </si>
  <si>
    <t xml:space="preserve">Тихвин                  </t>
  </si>
  <si>
    <t>Тихорецк</t>
  </si>
  <si>
    <t xml:space="preserve">Тихорецк                 </t>
  </si>
  <si>
    <t xml:space="preserve">Тихорецк                </t>
  </si>
  <si>
    <t xml:space="preserve">Тобольск                 </t>
  </si>
  <si>
    <t xml:space="preserve">Тобольск                </t>
  </si>
  <si>
    <t xml:space="preserve">Тогул </t>
  </si>
  <si>
    <t xml:space="preserve">Тогул                    </t>
  </si>
  <si>
    <t xml:space="preserve">Тогул                   </t>
  </si>
  <si>
    <t xml:space="preserve">Токо                     </t>
  </si>
  <si>
    <t xml:space="preserve">Токо                    </t>
  </si>
  <si>
    <t xml:space="preserve">Томмот                   </t>
  </si>
  <si>
    <t xml:space="preserve">Томмот                  </t>
  </si>
  <si>
    <t xml:space="preserve">Томпо                    </t>
  </si>
  <si>
    <t xml:space="preserve">Томпо                   </t>
  </si>
  <si>
    <t xml:space="preserve">Томск                    </t>
  </si>
  <si>
    <t xml:space="preserve">Томск                   </t>
  </si>
  <si>
    <t>Топки</t>
  </si>
  <si>
    <t xml:space="preserve">Топки                    </t>
  </si>
  <si>
    <t xml:space="preserve">Топки                   </t>
  </si>
  <si>
    <t>Тотьма</t>
  </si>
  <si>
    <t xml:space="preserve">Тотьма                   </t>
  </si>
  <si>
    <t xml:space="preserve">Тотьма                  </t>
  </si>
  <si>
    <t>Троицкое</t>
  </si>
  <si>
    <t xml:space="preserve">Троицкое                 </t>
  </si>
  <si>
    <t xml:space="preserve">Троицкое                </t>
  </si>
  <si>
    <t>Троицко-Печорск</t>
  </si>
  <si>
    <t xml:space="preserve">Троицко-Печорск          </t>
  </si>
  <si>
    <t xml:space="preserve">Троицко-Печорск         </t>
  </si>
  <si>
    <t>Тульская область</t>
  </si>
  <si>
    <t>Тула</t>
  </si>
  <si>
    <t xml:space="preserve">Тула                     </t>
  </si>
  <si>
    <t xml:space="preserve">Тула                    </t>
  </si>
  <si>
    <t>Тулун</t>
  </si>
  <si>
    <t xml:space="preserve">Тулун                    </t>
  </si>
  <si>
    <t xml:space="preserve">Тулун                   </t>
  </si>
  <si>
    <t>Тунгокочен</t>
  </si>
  <si>
    <t xml:space="preserve">Тунгокочен               </t>
  </si>
  <si>
    <t xml:space="preserve">Тунгокочен              </t>
  </si>
  <si>
    <t>Туой-Хая</t>
  </si>
  <si>
    <t xml:space="preserve">Туой-Хая                 </t>
  </si>
  <si>
    <t xml:space="preserve">Туой-Хая                </t>
  </si>
  <si>
    <t>Тупик</t>
  </si>
  <si>
    <t xml:space="preserve">Тупик                    </t>
  </si>
  <si>
    <t xml:space="preserve">Тупик                   </t>
  </si>
  <si>
    <t>Тура - Эвенкийский АО</t>
  </si>
  <si>
    <t xml:space="preserve">Тура - Эвенкийский АО    </t>
  </si>
  <si>
    <t xml:space="preserve">Тура - Эвенкийский АО   </t>
  </si>
  <si>
    <t xml:space="preserve">Тургай                   </t>
  </si>
  <si>
    <t xml:space="preserve">Тургай                  </t>
  </si>
  <si>
    <t>Туринск</t>
  </si>
  <si>
    <t xml:space="preserve">Туринск                  </t>
  </si>
  <si>
    <t xml:space="preserve">Туринск                 </t>
  </si>
  <si>
    <t>Южно-КазаКстанская область</t>
  </si>
  <si>
    <t xml:space="preserve">Туркестан                </t>
  </si>
  <si>
    <t xml:space="preserve">Туркестан               </t>
  </si>
  <si>
    <t xml:space="preserve">Туркменбаши              </t>
  </si>
  <si>
    <t xml:space="preserve">Туркменбаши             </t>
  </si>
  <si>
    <t>Туруханск</t>
  </si>
  <si>
    <t xml:space="preserve">Туруханск                </t>
  </si>
  <si>
    <t xml:space="preserve">Туруханск               </t>
  </si>
  <si>
    <t>Тыган-Уркан</t>
  </si>
  <si>
    <t xml:space="preserve">Тыган-Уркан              </t>
  </si>
  <si>
    <t xml:space="preserve">Тыган-Уркан             </t>
  </si>
  <si>
    <t xml:space="preserve">Тында                    </t>
  </si>
  <si>
    <t xml:space="preserve">Тында                   </t>
  </si>
  <si>
    <t xml:space="preserve">Тюмень                   </t>
  </si>
  <si>
    <t xml:space="preserve">Тюмень                  </t>
  </si>
  <si>
    <t xml:space="preserve">Тяня                     </t>
  </si>
  <si>
    <t xml:space="preserve">Тяня                    </t>
  </si>
  <si>
    <t>Уакит</t>
  </si>
  <si>
    <t xml:space="preserve">Уакит                    </t>
  </si>
  <si>
    <t xml:space="preserve">Уакит                   </t>
  </si>
  <si>
    <t>Угут</t>
  </si>
  <si>
    <t xml:space="preserve">Угут                     </t>
  </si>
  <si>
    <t xml:space="preserve">Угут                    </t>
  </si>
  <si>
    <t>Закарпатская область</t>
  </si>
  <si>
    <t xml:space="preserve">Ужгород                  </t>
  </si>
  <si>
    <t xml:space="preserve">Ужгород                 </t>
  </si>
  <si>
    <t xml:space="preserve">Уил                      </t>
  </si>
  <si>
    <t xml:space="preserve">Уил                     </t>
  </si>
  <si>
    <t>Ука</t>
  </si>
  <si>
    <t xml:space="preserve">Ука                      </t>
  </si>
  <si>
    <t xml:space="preserve">Ука                     </t>
  </si>
  <si>
    <t xml:space="preserve">Улан-Удэ                 </t>
  </si>
  <si>
    <t xml:space="preserve">Улан-Удэ                </t>
  </si>
  <si>
    <t xml:space="preserve">Ульяновск                </t>
  </si>
  <si>
    <t xml:space="preserve">Ульяновск               </t>
  </si>
  <si>
    <t xml:space="preserve">Умань                    </t>
  </si>
  <si>
    <t xml:space="preserve">Умань                   </t>
  </si>
  <si>
    <t>Умба</t>
  </si>
  <si>
    <t xml:space="preserve">Умба                     </t>
  </si>
  <si>
    <t xml:space="preserve">Умба                    </t>
  </si>
  <si>
    <t>Унаха</t>
  </si>
  <si>
    <t xml:space="preserve">Унаха                    </t>
  </si>
  <si>
    <t xml:space="preserve">Унаха                   </t>
  </si>
  <si>
    <t xml:space="preserve">Уральск                  </t>
  </si>
  <si>
    <t xml:space="preserve">Уральск                 </t>
  </si>
  <si>
    <t>Ура-Тюбе</t>
  </si>
  <si>
    <t xml:space="preserve">Ура-Тюбе             </t>
  </si>
  <si>
    <t>Хорезмская область</t>
  </si>
  <si>
    <t xml:space="preserve">Ургенч                   </t>
  </si>
  <si>
    <t xml:space="preserve">Ургенч                  </t>
  </si>
  <si>
    <t>Уренгой - Ханты-Мансийский АО</t>
  </si>
  <si>
    <t xml:space="preserve">Уренгой - Ямало-Ненецкий </t>
  </si>
  <si>
    <t>Уренгой - Ямало-Ненецкий</t>
  </si>
  <si>
    <t>Усть-Воямполка -  Корякский АО</t>
  </si>
  <si>
    <t xml:space="preserve">Усть-Воямполка -         </t>
  </si>
  <si>
    <t xml:space="preserve">Усть-Воямполка -        </t>
  </si>
  <si>
    <t>Усть-Кабырза</t>
  </si>
  <si>
    <t xml:space="preserve">Усть-Кабырза             </t>
  </si>
  <si>
    <t xml:space="preserve">Усть-Кабырза            </t>
  </si>
  <si>
    <t xml:space="preserve">Усть-Каменогорск         </t>
  </si>
  <si>
    <t xml:space="preserve">Усть-Каменогорск        </t>
  </si>
  <si>
    <t>Усть-Камчатск</t>
  </si>
  <si>
    <t xml:space="preserve">Усть-Камчатск            </t>
  </si>
  <si>
    <t xml:space="preserve">Усть-Камчатск           </t>
  </si>
  <si>
    <t xml:space="preserve">Усть-Мая                 </t>
  </si>
  <si>
    <t xml:space="preserve">Усть-Мая                </t>
  </si>
  <si>
    <t xml:space="preserve">Усть-Миль                </t>
  </si>
  <si>
    <t xml:space="preserve">Усть-Миль               </t>
  </si>
  <si>
    <t xml:space="preserve">Усть-Мома                </t>
  </si>
  <si>
    <t xml:space="preserve">Усть-Мома               </t>
  </si>
  <si>
    <t>Усть-Нюкжа</t>
  </si>
  <si>
    <t xml:space="preserve">Усть-Нюкжа               </t>
  </si>
  <si>
    <t xml:space="preserve">Усть-Нюкжа              </t>
  </si>
  <si>
    <t>Усть-Озерное</t>
  </si>
  <si>
    <t xml:space="preserve">Усть-Озерное             </t>
  </si>
  <si>
    <t xml:space="preserve">Усть-Озерное            </t>
  </si>
  <si>
    <t>Усть-Олой</t>
  </si>
  <si>
    <t xml:space="preserve">Усть-Олой                </t>
  </si>
  <si>
    <t xml:space="preserve">Усть-Олой               </t>
  </si>
  <si>
    <t>Усть-Ордынский</t>
  </si>
  <si>
    <t xml:space="preserve">Усть-Ордынский - Усть-   </t>
  </si>
  <si>
    <t xml:space="preserve">Усть-Ордынский - Усть-  </t>
  </si>
  <si>
    <t>Усть-Уса</t>
  </si>
  <si>
    <t xml:space="preserve">Усть-Уса                 </t>
  </si>
  <si>
    <t xml:space="preserve">Усть-Уса                </t>
  </si>
  <si>
    <t>Усть-Хайрюзово</t>
  </si>
  <si>
    <t xml:space="preserve">Усть-Хайрюзово           </t>
  </si>
  <si>
    <t xml:space="preserve">Усть-Хайрюзово          </t>
  </si>
  <si>
    <t>Усть-Цильма</t>
  </si>
  <si>
    <t xml:space="preserve">Усть-Цильма              </t>
  </si>
  <si>
    <t xml:space="preserve">Усть-Цильма             </t>
  </si>
  <si>
    <t>Усть-Щугор</t>
  </si>
  <si>
    <t xml:space="preserve">Усть-Щугор               </t>
  </si>
  <si>
    <t xml:space="preserve">Усть-Щугор              </t>
  </si>
  <si>
    <t xml:space="preserve">Уфа                      </t>
  </si>
  <si>
    <t xml:space="preserve">Уфа                     </t>
  </si>
  <si>
    <t>Ухта</t>
  </si>
  <si>
    <t xml:space="preserve">Ухта                     </t>
  </si>
  <si>
    <t xml:space="preserve">Ухта                    </t>
  </si>
  <si>
    <t xml:space="preserve">Феодосия                 </t>
  </si>
  <si>
    <t xml:space="preserve">Феодосия                </t>
  </si>
  <si>
    <t xml:space="preserve">Фергана                  </t>
  </si>
  <si>
    <t xml:space="preserve">Фергана                 </t>
  </si>
  <si>
    <t>Мангистауская область</t>
  </si>
  <si>
    <t xml:space="preserve">Форт-Шевченко            </t>
  </si>
  <si>
    <t xml:space="preserve">Форт-Шевченко           </t>
  </si>
  <si>
    <t xml:space="preserve">Фурмановка               </t>
  </si>
  <si>
    <t xml:space="preserve">Фурмановка              </t>
  </si>
  <si>
    <t xml:space="preserve">Хабаровск                </t>
  </si>
  <si>
    <t xml:space="preserve">Хабаровск               </t>
  </si>
  <si>
    <t xml:space="preserve">Хайдаркан                </t>
  </si>
  <si>
    <t xml:space="preserve">Хайдаркан               </t>
  </si>
  <si>
    <t>Ханты-Мансийск - Ханты-Мансийский АО</t>
  </si>
  <si>
    <t xml:space="preserve">Ханты-Мансийск -         </t>
  </si>
  <si>
    <t xml:space="preserve">Ханты-Мансийск -        </t>
  </si>
  <si>
    <t xml:space="preserve">Харьков                  </t>
  </si>
  <si>
    <t xml:space="preserve">Харьков                 </t>
  </si>
  <si>
    <t>Хатанга</t>
  </si>
  <si>
    <t xml:space="preserve">Хатанга - Таймырский АО  </t>
  </si>
  <si>
    <t xml:space="preserve">Хатанга - Таймырский АО </t>
  </si>
  <si>
    <t xml:space="preserve">Херсон                   </t>
  </si>
  <si>
    <t xml:space="preserve">Херсон                  </t>
  </si>
  <si>
    <t>Хмельницкая область</t>
  </si>
  <si>
    <t xml:space="preserve">Хмельницкий              </t>
  </si>
  <si>
    <t xml:space="preserve">Хмельницкий             </t>
  </si>
  <si>
    <t xml:space="preserve">Ходовариха               </t>
  </si>
  <si>
    <t xml:space="preserve">Ходовариха              </t>
  </si>
  <si>
    <t>Холмск</t>
  </si>
  <si>
    <t xml:space="preserve">Холмск                   </t>
  </si>
  <si>
    <t xml:space="preserve">Холмск                  </t>
  </si>
  <si>
    <t>Хоринск</t>
  </si>
  <si>
    <t xml:space="preserve">Хоринск                  </t>
  </si>
  <si>
    <t xml:space="preserve">Хоринск                 </t>
  </si>
  <si>
    <t>Хорог</t>
  </si>
  <si>
    <t xml:space="preserve">Хорог                </t>
  </si>
  <si>
    <t xml:space="preserve">Хоседа-Хард              </t>
  </si>
  <si>
    <t xml:space="preserve">Хоседа-Хард             </t>
  </si>
  <si>
    <t>Худжанд</t>
  </si>
  <si>
    <t xml:space="preserve">Худжанд              </t>
  </si>
  <si>
    <t>Хуло</t>
  </si>
  <si>
    <t xml:space="preserve">Хуло                     </t>
  </si>
  <si>
    <t xml:space="preserve">Хуло                    </t>
  </si>
  <si>
    <t>Цхинвали</t>
  </si>
  <si>
    <t xml:space="preserve">Цхинвали                 </t>
  </si>
  <si>
    <t xml:space="preserve">Цхинвали                </t>
  </si>
  <si>
    <t xml:space="preserve">Чагыл                    </t>
  </si>
  <si>
    <t xml:space="preserve">Чагыл                   </t>
  </si>
  <si>
    <t>Чара</t>
  </si>
  <si>
    <t xml:space="preserve">Чара                     </t>
  </si>
  <si>
    <t xml:space="preserve">Чара                    </t>
  </si>
  <si>
    <t xml:space="preserve">Чарвак                   </t>
  </si>
  <si>
    <t xml:space="preserve">Чарвак                  </t>
  </si>
  <si>
    <t xml:space="preserve">Чарджоу                  </t>
  </si>
  <si>
    <t xml:space="preserve">Чарджоу                 </t>
  </si>
  <si>
    <t xml:space="preserve">Чебоксары                </t>
  </si>
  <si>
    <t xml:space="preserve">Чебоксары               </t>
  </si>
  <si>
    <t xml:space="preserve">Челкар                   </t>
  </si>
  <si>
    <t xml:space="preserve">Челкар                  </t>
  </si>
  <si>
    <t>Челюскин-2, мыс -  Таймырский АО</t>
  </si>
  <si>
    <t xml:space="preserve">Челюскин, мыс -          </t>
  </si>
  <si>
    <t xml:space="preserve">Челюскин, мыс -         </t>
  </si>
  <si>
    <t xml:space="preserve">Челябинск                </t>
  </si>
  <si>
    <t xml:space="preserve">Челябинск               </t>
  </si>
  <si>
    <t>Чердынь</t>
  </si>
  <si>
    <t xml:space="preserve">Чердынь                  </t>
  </si>
  <si>
    <t xml:space="preserve">Чердынь                 </t>
  </si>
  <si>
    <t>Карачаево-Черкесская республика</t>
  </si>
  <si>
    <t>Черкесск</t>
  </si>
  <si>
    <t xml:space="preserve">Черкесск                 </t>
  </si>
  <si>
    <t xml:space="preserve">Черкесск                </t>
  </si>
  <si>
    <t>Черлак</t>
  </si>
  <si>
    <t xml:space="preserve">Черлак                   </t>
  </si>
  <si>
    <t xml:space="preserve">Черлак                  </t>
  </si>
  <si>
    <t>Черниговская область</t>
  </si>
  <si>
    <t xml:space="preserve">Чернигов                 </t>
  </si>
  <si>
    <t xml:space="preserve">Чернигов                </t>
  </si>
  <si>
    <t>Черновицкая область</t>
  </si>
  <si>
    <t xml:space="preserve">Черновцы                 </t>
  </si>
  <si>
    <t xml:space="preserve">Черновцы                </t>
  </si>
  <si>
    <t>Черняево</t>
  </si>
  <si>
    <t xml:space="preserve">Черняево                 </t>
  </si>
  <si>
    <t xml:space="preserve">Черняево                </t>
  </si>
  <si>
    <t xml:space="preserve">Чимбай                   </t>
  </si>
  <si>
    <t xml:space="preserve">Чимбай                  </t>
  </si>
  <si>
    <t xml:space="preserve">Чимкент                  </t>
  </si>
  <si>
    <t xml:space="preserve">Чимкент                 </t>
  </si>
  <si>
    <t xml:space="preserve">Чита                     </t>
  </si>
  <si>
    <t xml:space="preserve">Чита                    </t>
  </si>
  <si>
    <t xml:space="preserve">Чолпон-Ата               </t>
  </si>
  <si>
    <t xml:space="preserve">Чолпон-Ата              </t>
  </si>
  <si>
    <t>Чугуевка</t>
  </si>
  <si>
    <t xml:space="preserve">Чугуевка                 </t>
  </si>
  <si>
    <t xml:space="preserve">Чугуевка                </t>
  </si>
  <si>
    <t>Чулым</t>
  </si>
  <si>
    <t xml:space="preserve">Чулым                    </t>
  </si>
  <si>
    <t xml:space="preserve">Чулым                   </t>
  </si>
  <si>
    <t xml:space="preserve">Чульман                  </t>
  </si>
  <si>
    <t xml:space="preserve">Чульман                 </t>
  </si>
  <si>
    <t>Чумикан</t>
  </si>
  <si>
    <t xml:space="preserve">Чумикан                  </t>
  </si>
  <si>
    <t xml:space="preserve">Чумикан                 </t>
  </si>
  <si>
    <t xml:space="preserve">Чурапча                  </t>
  </si>
  <si>
    <t xml:space="preserve">Чурапча                 </t>
  </si>
  <si>
    <t>Чухлома</t>
  </si>
  <si>
    <t xml:space="preserve">Чухлома                  </t>
  </si>
  <si>
    <t xml:space="preserve">Чухлома                 </t>
  </si>
  <si>
    <t>Шаартуз</t>
  </si>
  <si>
    <t xml:space="preserve">Шаартуз              </t>
  </si>
  <si>
    <t>Шамары</t>
  </si>
  <si>
    <t xml:space="preserve">Шамары                   </t>
  </si>
  <si>
    <t xml:space="preserve">Шамары                  </t>
  </si>
  <si>
    <t>Шарья</t>
  </si>
  <si>
    <t xml:space="preserve">Шарья                    </t>
  </si>
  <si>
    <t xml:space="preserve">Шарья                   </t>
  </si>
  <si>
    <t xml:space="preserve">Шелагонцы                </t>
  </si>
  <si>
    <t xml:space="preserve">Шелагонцы               </t>
  </si>
  <si>
    <t xml:space="preserve">Шемонаиха                </t>
  </si>
  <si>
    <t xml:space="preserve">Шемонаиха               </t>
  </si>
  <si>
    <t xml:space="preserve">Шерабад                  </t>
  </si>
  <si>
    <t xml:space="preserve">Шерабад                 </t>
  </si>
  <si>
    <t>Шимановск</t>
  </si>
  <si>
    <t xml:space="preserve">Шимановск                </t>
  </si>
  <si>
    <t xml:space="preserve">Шимановск               </t>
  </si>
  <si>
    <t>Шира</t>
  </si>
  <si>
    <t xml:space="preserve">Шира                     </t>
  </si>
  <si>
    <t xml:space="preserve">Шира                    </t>
  </si>
  <si>
    <t>Шираки</t>
  </si>
  <si>
    <t xml:space="preserve">Шираки                   </t>
  </si>
  <si>
    <t xml:space="preserve">Шираки                  </t>
  </si>
  <si>
    <t xml:space="preserve">Эйк                      </t>
  </si>
  <si>
    <t xml:space="preserve">Эйк                     </t>
  </si>
  <si>
    <t>Экимчан</t>
  </si>
  <si>
    <t xml:space="preserve">Экимчан                  </t>
  </si>
  <si>
    <t xml:space="preserve">Экимчан                 </t>
  </si>
  <si>
    <t>Республика Калмыкия</t>
  </si>
  <si>
    <t>Элиста</t>
  </si>
  <si>
    <t xml:space="preserve">Элиста                   </t>
  </si>
  <si>
    <t xml:space="preserve">Элиста                  </t>
  </si>
  <si>
    <t>Эльтон</t>
  </si>
  <si>
    <t xml:space="preserve">Эльтон                   </t>
  </si>
  <si>
    <t xml:space="preserve">Эльтон                  </t>
  </si>
  <si>
    <t xml:space="preserve"> 7 1 </t>
  </si>
  <si>
    <t>Энкэн</t>
  </si>
  <si>
    <t xml:space="preserve">Энкэн                    </t>
  </si>
  <si>
    <t xml:space="preserve">Энкэн                   </t>
  </si>
  <si>
    <t>Эньмувеем</t>
  </si>
  <si>
    <t xml:space="preserve">Эньмувеем                </t>
  </si>
  <si>
    <t xml:space="preserve">Эньмувеем               </t>
  </si>
  <si>
    <t>Южно-Курильск</t>
  </si>
  <si>
    <t xml:space="preserve">Южно-Курильск            </t>
  </si>
  <si>
    <t xml:space="preserve">Южно-Курильск           </t>
  </si>
  <si>
    <t xml:space="preserve">Южно-Сахалинск           </t>
  </si>
  <si>
    <t xml:space="preserve">Южно-Сахалинск          </t>
  </si>
  <si>
    <t>Южно-Сухокумск</t>
  </si>
  <si>
    <t xml:space="preserve">Южно-Сухокумск           </t>
  </si>
  <si>
    <t xml:space="preserve">Южно-Сухокумск          </t>
  </si>
  <si>
    <t>Юкспор</t>
  </si>
  <si>
    <t xml:space="preserve">Юкспор                   </t>
  </si>
  <si>
    <t xml:space="preserve">Юкспор                  </t>
  </si>
  <si>
    <t xml:space="preserve">Якутск                   </t>
  </si>
  <si>
    <t xml:space="preserve">Якутск                  </t>
  </si>
  <si>
    <t xml:space="preserve">Ялта                     </t>
  </si>
  <si>
    <t xml:space="preserve">Ялта                    </t>
  </si>
  <si>
    <t>Янаул</t>
  </si>
  <si>
    <t xml:space="preserve">Янаул                    </t>
  </si>
  <si>
    <t xml:space="preserve">Янаул                   </t>
  </si>
  <si>
    <t>Ярославская область</t>
  </si>
  <si>
    <t xml:space="preserve">Ярославль                </t>
  </si>
  <si>
    <t xml:space="preserve">Ярославль               </t>
  </si>
  <si>
    <t>Ярцево</t>
  </si>
  <si>
    <t xml:space="preserve">Ярцево                   </t>
  </si>
  <si>
    <t xml:space="preserve">Ярцево                  </t>
  </si>
  <si>
    <t>несущая способность гр.</t>
  </si>
  <si>
    <t>суглинки и глина</t>
  </si>
  <si>
    <t>супеси, пески мелкие и пылеватые</t>
  </si>
  <si>
    <t>пески гравелистые, крупные и средней крупности</t>
  </si>
  <si>
    <t>крупнообломочных грунтов</t>
  </si>
  <si>
    <t>Cevvf</t>
  </si>
  <si>
    <t>Корень</t>
  </si>
  <si>
    <t>Произведение</t>
  </si>
  <si>
    <t xml:space="preserve">Коэффициент </t>
  </si>
  <si>
    <r>
      <t xml:space="preserve"> при расчетной среднесуточной температуре воздуха в помещении, примыкающем к наружным фундаментам, </t>
    </r>
    <r>
      <rPr>
        <sz val="10"/>
        <color indexed="8"/>
        <rFont val="Symbol"/>
        <family val="1"/>
        <charset val="2"/>
      </rPr>
      <t>°</t>
    </r>
    <r>
      <rPr>
        <sz val="10"/>
        <color indexed="8"/>
        <rFont val="Times New Roman"/>
        <family val="1"/>
        <charset val="204"/>
      </rPr>
      <t>С</t>
    </r>
  </si>
  <si>
    <t>Особенности сооружения</t>
  </si>
  <si>
    <t>0°С</t>
  </si>
  <si>
    <t>5°С</t>
  </si>
  <si>
    <t>10°С</t>
  </si>
  <si>
    <t>15°С</t>
  </si>
  <si>
    <t>&gt;20°С</t>
  </si>
  <si>
    <t>более</t>
  </si>
  <si>
    <t>Без подвала с полами, устраиваемыми по грунту</t>
  </si>
  <si>
    <t>Без подвала с полами, устраиваемыми на лагах по грунту</t>
  </si>
  <si>
    <t>Без подвала с полами, устраиваемыми по утепленному цокольному перекрытию</t>
  </si>
  <si>
    <t>С подвалом или техническим   подпольем</t>
  </si>
  <si>
    <t>ИТОГ</t>
  </si>
  <si>
    <t>Таблица А.1</t>
  </si>
  <si>
    <t>Климатические районы</t>
  </si>
  <si>
    <t>Климатические подрайоны</t>
  </si>
  <si>
    <t>Среднемесячная температура воздуха в январе,°С</t>
  </si>
  <si>
    <t>Средняя скорость ветра за три зимних месяца, м/с</t>
  </si>
  <si>
    <t>Среднемесячная температура воздуха в июле, °С</t>
  </si>
  <si>
    <t>Среднемесячная относительная влажность воздуха в июле, %</t>
  </si>
  <si>
    <t>I</t>
  </si>
  <si>
    <t>IА</t>
  </si>
  <si>
    <t>От -32 и ниже</t>
  </si>
  <si>
    <t>—</t>
  </si>
  <si>
    <t>От +4 до +19</t>
  </si>
  <si>
    <t>IБ</t>
  </si>
  <si>
    <t>От -28 и ниже</t>
  </si>
  <si>
    <t>5 и более</t>
  </si>
  <si>
    <t>От 0 до +13</t>
  </si>
  <si>
    <t>Более 75</t>
  </si>
  <si>
    <t>IВ</t>
  </si>
  <si>
    <t>От -14 до -28</t>
  </si>
  <si>
    <t>От +12 до +21</t>
  </si>
  <si>
    <t>IГ</t>
  </si>
  <si>
    <t>От 0 до +14</t>
  </si>
  <si>
    <t>IД</t>
  </si>
  <si>
    <t>От -14 до -32</t>
  </si>
  <si>
    <t>От +10 до +20</t>
  </si>
  <si>
    <t>IIА</t>
  </si>
  <si>
    <t>От -4 до -14</t>
  </si>
  <si>
    <t>От +8 до +12</t>
  </si>
  <si>
    <t>IIБ</t>
  </si>
  <si>
    <t>От -3 до -5</t>
  </si>
  <si>
    <t>IIВ</t>
  </si>
  <si>
    <t>IIГ</t>
  </si>
  <si>
    <t>От -5 до -14</t>
  </si>
  <si>
    <t>IIIА</t>
  </si>
  <si>
    <t>От -14 до-20</t>
  </si>
  <si>
    <t>От +21 до +25</t>
  </si>
  <si>
    <t>IIIБ</t>
  </si>
  <si>
    <t>От -5 до +2</t>
  </si>
  <si>
    <t>IIIВ</t>
  </si>
  <si>
    <t>IVА</t>
  </si>
  <si>
    <t>От -10 до +2</t>
  </si>
  <si>
    <t>От +28 и выше</t>
  </si>
  <si>
    <t>IVБ</t>
  </si>
  <si>
    <t>От +2 до +6</t>
  </si>
  <si>
    <t>От +22 до +28</t>
  </si>
  <si>
    <t>50 и более в15ч</t>
  </si>
  <si>
    <t>IVВ</t>
  </si>
  <si>
    <t>От 0 до +2</t>
  </si>
  <si>
    <t>От +25 до +28</t>
  </si>
  <si>
    <t>IVГ</t>
  </si>
  <si>
    <t>От -15 до 0</t>
  </si>
  <si>
    <r>
      <t xml:space="preserve">Примечание </t>
    </r>
    <r>
      <rPr>
        <sz val="9"/>
        <color indexed="8"/>
        <rFont val="Times New Roman"/>
        <family val="1"/>
        <charset val="204"/>
      </rPr>
      <t>— Климатический подрайон IД характеризуется продолжительностью холодного периода года (со средней суточной температурой воздуха ниже 0°С) 190 дней в году и более</t>
    </r>
  </si>
  <si>
    <t>Выберите наиболее подходящий тип грунта</t>
  </si>
  <si>
    <t>Хомут - арматура АIII    Ф         мм</t>
  </si>
  <si>
    <t>Высота бетона над уровнем земли</t>
  </si>
  <si>
    <t>Высота сваи над уровнем земли</t>
  </si>
  <si>
    <t>Фундамент - Сваи ТИСЭ</t>
  </si>
  <si>
    <t>Шуруп оцинкованный 10х110мм (глухарь)</t>
  </si>
  <si>
    <t>57х4</t>
  </si>
  <si>
    <t>73х4</t>
  </si>
  <si>
    <t>89х4</t>
  </si>
  <si>
    <t>108х6</t>
  </si>
  <si>
    <t>133х6</t>
  </si>
  <si>
    <t>м.куб. / штук</t>
  </si>
  <si>
    <t>Общая сумма объма</t>
  </si>
  <si>
    <t>Итоговая сумма за фундамент</t>
  </si>
  <si>
    <t>Свайное поле фундамента</t>
  </si>
  <si>
    <t>мм</t>
  </si>
  <si>
    <t xml:space="preserve">Уголок перф. усиленный 105х105х80х2мм </t>
  </si>
  <si>
    <t>Уголок монтажный усиленный 105х105х80х2</t>
  </si>
  <si>
    <t>отрезков</t>
  </si>
  <si>
    <t>рулон</t>
  </si>
  <si>
    <t>Смета на фундамент</t>
  </si>
  <si>
    <t>Смета  оболочек</t>
  </si>
  <si>
    <t>Стоимость за еденицу объёма</t>
  </si>
  <si>
    <t xml:space="preserve">Предлагаю принять парралельную схему осей, в качестве основы, для внутренних перегородок. И как следствие - применить, любые из осей, как месторасположенние свай и обвязки, под внутренние стены. В таком случае, шаг между сваями, ориентировочно, должен быть 1,5-3м. </t>
  </si>
  <si>
    <t xml:space="preserve">Перекрытие </t>
  </si>
  <si>
    <t xml:space="preserve">1. верхний нулевой уровень, у обычной сваи довольно сложно сделать в одной плоскости. Теперь же, после установки трубы, с небольшим запасом выше нужного, можно легко обрезать в уровень, вместо подливок бетона, или обрезки бетона, что довольно трудозатратно и неудобно.                            </t>
  </si>
  <si>
    <t xml:space="preserve">2. Крепить обвязку к фундаменту зачастую, очень точной крайне сложно сделать. Нужно либо устанавливать очень точно шпильки в жидком бетоне, что почти невозможно. Либо сверлить отверстие, под химический анкер, после установки обвязки, где тоже есть большая вероятность ошибки, и возможность скола бетона.                                                                                                             </t>
  </si>
  <si>
    <t xml:space="preserve">3. В предлагаемой схеме, теперь не нужен замок шип-паз, для балок обвязки фундамента. Это очень облегчит изготовление нужных заготовок. И в итоге не будет зависимости от перепада по толщине балок, что приводит к неровному основанию, и дальнейшему перекосу конструкции                                     </t>
  </si>
  <si>
    <t xml:space="preserve">4. Схема позволяет применить обычную винтовую сваю. Но здесь имейте введу - обычные винтовые сваи недолговечны. Ихний срок годности будет зависеть от типа грунта. По этой причине, сложно прогнозировать ихний срок службы. А тем более, это касается сварных лопастей, и "рыночной" толщины труб. Поэтому, если решились установить винтовые сваи, делайте их сами из составных частей: ЛИТЫХ ЛОПАСТЕЙ, и гораздо более толстых труб чем это втюхивает Вам "невидемая рука рынка". Выбирайте толщину стенки около 6-8мм. Руководствуясь правилом - "чем толще, тем дольше будет гнить, умноженное на коэффициент объёма Вашего кошелька"                </t>
  </si>
  <si>
    <t xml:space="preserve">Предлагаемый тип фундамента состоит из типовой сваи ТИСЭ, что делается ручным ямобуром ТИСЭ, с расширением в нижней части, и верхней части заимствованной у типовых винтовых свай. Верхние части оголовки, Вы можете и приобрести, и сделать сами. Преимуществ такого гибридного фундамента несколько:        </t>
  </si>
  <si>
    <t>Пирог перкрытия</t>
  </si>
  <si>
    <t>Доска шпунтованная х35мм</t>
  </si>
  <si>
    <t>Ветрозащитная мембрана</t>
  </si>
  <si>
    <t>Черновой пол (доска х25мм)</t>
  </si>
  <si>
    <t xml:space="preserve">Пароизоляционная плёнка </t>
  </si>
  <si>
    <t>Обвязка фундамента (балка)</t>
  </si>
  <si>
    <t>Смета на перекрытие</t>
  </si>
  <si>
    <t>Лаги (Доска) с шагом 400мм</t>
  </si>
  <si>
    <t>Шуруп универсальный для доски шпунтованн. 70х4мм</t>
  </si>
  <si>
    <t>Доска 100-150х25мм</t>
  </si>
  <si>
    <t>Шуруп универсальный оцинк. для конт.рейки 70х4мм</t>
  </si>
  <si>
    <t>Гвозди для каркаса перекрытия 100х4мм</t>
  </si>
  <si>
    <t>Перекрытие второго этажа</t>
  </si>
  <si>
    <t>Условная схема крепления обвязки</t>
  </si>
  <si>
    <t>Пирог перкрытия второго этажа</t>
  </si>
  <si>
    <t>СМЛ плита х10мм</t>
  </si>
  <si>
    <t>Гидроизоляционная мембрана</t>
  </si>
  <si>
    <t>Смета на перекрытие второго этажа</t>
  </si>
  <si>
    <t>% от площади 1-го этажа</t>
  </si>
  <si>
    <t>Саморезы для монтажа СМЛ плиты 3,9х30мм</t>
  </si>
  <si>
    <t>Площадь первого этажа</t>
  </si>
  <si>
    <t>Площадь второго этажа</t>
  </si>
  <si>
    <t>Подбиваем итоги:</t>
  </si>
  <si>
    <t>Площадь застройки(основания)</t>
  </si>
  <si>
    <t>Общая сумма всех разделов</t>
  </si>
  <si>
    <t>$</t>
  </si>
  <si>
    <t>Общая масса всех материалов</t>
  </si>
  <si>
    <t>Нагрузка от веса здания</t>
  </si>
  <si>
    <t>КОНЕЦ</t>
  </si>
  <si>
    <t>Нагрзка с учётом снега</t>
  </si>
  <si>
    <t>много</t>
  </si>
  <si>
    <t>Нагрзка с учётом мебели</t>
  </si>
  <si>
    <t>~ Несущая способность подошвы фундамента</t>
  </si>
  <si>
    <t>НБУ</t>
  </si>
  <si>
    <t>выбрано</t>
  </si>
  <si>
    <t>курс ФРС</t>
  </si>
  <si>
    <t>Текущий</t>
  </si>
  <si>
    <t>Ситуация на Востоке</t>
  </si>
  <si>
    <t>USD НБУ</t>
  </si>
  <si>
    <t>EUR НБУ</t>
  </si>
  <si>
    <t>RUB НБУ</t>
  </si>
  <si>
    <t>CHF НБУ</t>
  </si>
  <si>
    <t>GBP НБУ</t>
  </si>
  <si>
    <t>JPY НБУ</t>
  </si>
  <si>
    <t>BYR НБУ</t>
  </si>
  <si>
    <t>KZT НБУ</t>
  </si>
  <si>
    <t>Динамика курса доллара США к гривне (USD, НБУ)</t>
  </si>
  <si>
    <t>Русский</t>
  </si>
  <si>
    <t>Украинский</t>
  </si>
  <si>
    <t>Стоимость всех материалов</t>
  </si>
  <si>
    <r>
      <t xml:space="preserve">Калькулятор стоимости комплекта узловых соединений </t>
    </r>
    <r>
      <rPr>
        <sz val="22"/>
        <color theme="0"/>
        <rFont val="Arial"/>
        <family val="2"/>
        <charset val="204"/>
      </rPr>
      <t>"</t>
    </r>
    <r>
      <rPr>
        <sz val="22"/>
        <color theme="0"/>
        <rFont val="OrthodoxLoose"/>
        <family val="1"/>
        <charset val="204"/>
      </rPr>
      <t>СОКОЛ</t>
    </r>
    <r>
      <rPr>
        <sz val="22"/>
        <color theme="0"/>
        <rFont val="Arial"/>
        <family val="2"/>
        <charset val="204"/>
      </rPr>
      <t>"</t>
    </r>
  </si>
  <si>
    <r>
      <t xml:space="preserve">Стоимость одной трубы </t>
    </r>
    <r>
      <rPr>
        <sz val="16"/>
        <color theme="0"/>
        <rFont val="GOST Type BU"/>
        <charset val="204"/>
      </rPr>
      <t>х6мм</t>
    </r>
  </si>
  <si>
    <r>
      <t xml:space="preserve">Стоимость одной трубы </t>
    </r>
    <r>
      <rPr>
        <sz val="16"/>
        <color theme="0"/>
        <rFont val="GOST Type BU"/>
        <charset val="204"/>
      </rPr>
      <t>х8мм</t>
    </r>
  </si>
  <si>
    <r>
      <rPr>
        <sz val="11"/>
        <color theme="0"/>
        <rFont val="OrthodoxLoose"/>
        <family val="1"/>
        <charset val="204"/>
      </rPr>
      <t xml:space="preserve">Стоимость болтов на </t>
    </r>
    <r>
      <rPr>
        <sz val="11"/>
        <color theme="0"/>
        <rFont val="Calibri"/>
        <family val="2"/>
        <charset val="204"/>
      </rPr>
      <t xml:space="preserve">1 </t>
    </r>
    <r>
      <rPr>
        <sz val="12"/>
        <color theme="0"/>
        <rFont val="OrthodoxLoose"/>
        <family val="1"/>
        <charset val="204"/>
      </rPr>
      <t>узел в</t>
    </r>
    <r>
      <rPr>
        <sz val="11"/>
        <color theme="0"/>
        <rFont val="Calibri"/>
        <family val="2"/>
        <charset val="204"/>
      </rPr>
      <t xml:space="preserve"> $</t>
    </r>
  </si>
  <si>
    <r>
      <rPr>
        <sz val="12"/>
        <color theme="0"/>
        <rFont val="OrthodoxLoose"/>
        <family val="1"/>
        <charset val="204"/>
      </rPr>
      <t>Общая стоимость</t>
    </r>
    <r>
      <rPr>
        <sz val="11"/>
        <color theme="0"/>
        <rFont val="Calibri"/>
        <family val="2"/>
        <charset val="204"/>
      </rPr>
      <t xml:space="preserve"> $</t>
    </r>
  </si>
  <si>
    <r>
      <rPr>
        <b/>
        <sz val="14"/>
        <color theme="0"/>
        <rFont val="OrthodoxLoose"/>
        <family val="1"/>
        <charset val="204"/>
      </rPr>
      <t>Болты</t>
    </r>
    <r>
      <rPr>
        <b/>
        <sz val="14"/>
        <color theme="0"/>
        <rFont val="GOST Type BU"/>
        <charset val="204"/>
      </rPr>
      <t>+</t>
    </r>
    <r>
      <rPr>
        <b/>
        <sz val="14"/>
        <color theme="0"/>
        <rFont val="OrthodoxLoose"/>
        <family val="1"/>
        <charset val="204"/>
      </rPr>
      <t>гайка</t>
    </r>
    <r>
      <rPr>
        <b/>
        <sz val="14"/>
        <color theme="0"/>
        <rFont val="GOST Type BU"/>
        <charset val="204"/>
      </rPr>
      <t>+</t>
    </r>
    <r>
      <rPr>
        <b/>
        <sz val="14"/>
        <color theme="0"/>
        <rFont val="OrthodoxLoose"/>
        <family val="1"/>
        <charset val="204"/>
      </rPr>
      <t>шайба</t>
    </r>
  </si>
  <si>
    <t>Украина прекратила поставки угля из Африки</t>
  </si>
  <si>
    <t>Глава ФГИ рассказал, как будут продавать крупнейшую госкомпанию</t>
  </si>
  <si>
    <t>Нацбанк признал неплатежеспособным «Фидобанк»</t>
  </si>
  <si>
    <t>Украина за 3 месяца импортировала газа на 522 миллиона долларов</t>
  </si>
  <si>
    <t>Омелян рассказал о цене билетов «Укрзализныци» в ближайшее время</t>
  </si>
  <si>
    <t>«Нафтогаз» полностью погасил кредит ЕБРР в размере $300 миллионов</t>
  </si>
  <si>
    <t>Кудрин: Экономика РФ прошла «дно», но роста пока нет</t>
  </si>
  <si>
    <t>Греф намерен работать в Сбербанке еще минимум четыре года</t>
  </si>
  <si>
    <t>Кудрин предложил поэтапно увеличивать пенсионный возраст до 63 лет</t>
  </si>
  <si>
    <t>Россия вернула Кувейту долг СССР</t>
  </si>
  <si>
    <t>Премьер Армении заявил о начале поставок российского вооружения</t>
  </si>
  <si>
    <t>ВШЭ предупредила о новом обвале рубля</t>
  </si>
  <si>
    <t>Стоимость квадратного метра по полу</t>
  </si>
  <si>
    <t>Общая жилая площадь дома</t>
  </si>
  <si>
    <r>
      <t xml:space="preserve">Калькулятор просчитывает все детали кристаллического купола третьей частоты </t>
    </r>
    <r>
      <rPr>
        <b/>
        <sz val="14"/>
        <color rgb="FFFF0000"/>
        <rFont val="GOST type B"/>
        <family val="2"/>
      </rPr>
      <t xml:space="preserve">7/12 </t>
    </r>
    <r>
      <rPr>
        <b/>
        <sz val="14"/>
        <color rgb="FFFF0000"/>
        <rFont val="OrthodoxLoose"/>
        <family val="1"/>
        <charset val="204"/>
      </rPr>
      <t>и</t>
    </r>
    <r>
      <rPr>
        <b/>
        <sz val="14"/>
        <color rgb="FFFF0000"/>
        <rFont val="GOST type B"/>
        <family val="2"/>
      </rPr>
      <t xml:space="preserve"> 5/12 </t>
    </r>
    <r>
      <rPr>
        <b/>
        <sz val="14"/>
        <color rgb="FFFF0000"/>
        <rFont val="OrthodoxLoose"/>
        <family val="1"/>
        <charset val="204"/>
      </rPr>
      <t>части сферы.</t>
    </r>
    <r>
      <rPr>
        <sz val="14"/>
        <color rgb="FFFF0000"/>
        <rFont val="OrthodoxLoose"/>
        <family val="1"/>
        <charset val="204"/>
      </rPr>
      <t xml:space="preserve"> Включая юбку, внутреннюю обшивку, шурупы, болты, гайки, обвязку фундамента, сам фундамент в виде свайн ТИСЭ, и даже утеплитель, с пароветробарьером и контррейкой.</t>
    </r>
  </si>
  <si>
    <r>
      <t xml:space="preserve">Цветовая схема обшивки </t>
    </r>
    <r>
      <rPr>
        <sz val="22"/>
        <color rgb="FFFF0000"/>
        <rFont val="GOST type B"/>
        <family val="2"/>
      </rPr>
      <t xml:space="preserve">7/12 </t>
    </r>
    <r>
      <rPr>
        <sz val="22"/>
        <color rgb="FFFF0000"/>
        <rFont val="OrthodoxLoose"/>
        <family val="1"/>
        <charset val="204"/>
      </rPr>
      <t>части сферы</t>
    </r>
  </si>
  <si>
    <r>
      <t xml:space="preserve">Цветовая схема обшивки </t>
    </r>
    <r>
      <rPr>
        <sz val="22"/>
        <color rgb="FFFF0000"/>
        <rFont val="GOST type B"/>
        <family val="2"/>
      </rPr>
      <t xml:space="preserve">5/12 </t>
    </r>
    <r>
      <rPr>
        <sz val="22"/>
        <color rgb="FFFF0000"/>
        <rFont val="OrthodoxLoose"/>
        <family val="1"/>
        <charset val="204"/>
      </rPr>
      <t>части сферы</t>
    </r>
  </si>
  <si>
    <r>
      <t xml:space="preserve">Размеры листов обшивки </t>
    </r>
    <r>
      <rPr>
        <b/>
        <u/>
        <sz val="22"/>
        <color rgb="FFFF0000"/>
        <rFont val="OrthodoxLoose"/>
        <family val="1"/>
        <charset val="204"/>
      </rPr>
      <t>наружной</t>
    </r>
    <r>
      <rPr>
        <b/>
        <sz val="22"/>
        <color rgb="FFFF0000"/>
        <rFont val="OrthodoxLoose"/>
        <family val="1"/>
        <charset val="204"/>
      </rPr>
      <t xml:space="preserve"> оболочки</t>
    </r>
  </si>
  <si>
    <r>
      <t xml:space="preserve">Размеры листов обшивки </t>
    </r>
    <r>
      <rPr>
        <b/>
        <u/>
        <sz val="22"/>
        <color rgb="FFFF0000"/>
        <rFont val="OrthodoxLoose"/>
        <family val="1"/>
        <charset val="204"/>
      </rPr>
      <t>внутренней</t>
    </r>
    <r>
      <rPr>
        <b/>
        <sz val="22"/>
        <color rgb="FFFF0000"/>
        <rFont val="OrthodoxLoose"/>
        <family val="1"/>
        <charset val="204"/>
      </rPr>
      <t xml:space="preserve"> оболочки</t>
    </r>
  </si>
</sst>
</file>

<file path=xl/styles.xml><?xml version="1.0" encoding="utf-8"?>
<styleSheet xmlns="http://schemas.openxmlformats.org/spreadsheetml/2006/main">
  <numFmts count="9">
    <numFmt numFmtId="164" formatCode="0.000"/>
    <numFmt numFmtId="165" formatCode="0.0"/>
    <numFmt numFmtId="166" formatCode="0.00000"/>
    <numFmt numFmtId="167" formatCode="0.0000000000000"/>
    <numFmt numFmtId="168" formatCode="0.0000000"/>
    <numFmt numFmtId="169" formatCode="0.00000000"/>
    <numFmt numFmtId="170" formatCode="#,##0.0"/>
    <numFmt numFmtId="171" formatCode="#,##0.0_ ;[Red]\-#,##0.0\ "/>
    <numFmt numFmtId="172" formatCode="0.0000000000"/>
  </numFmts>
  <fonts count="201">
    <font>
      <sz val="11"/>
      <color indexed="8"/>
      <name val="Calibri"/>
    </font>
    <font>
      <sz val="11"/>
      <color theme="1"/>
      <name val="Calibri"/>
      <family val="2"/>
      <charset val="204"/>
      <scheme val="minor"/>
    </font>
    <font>
      <u/>
      <sz val="8"/>
      <color indexed="10"/>
      <name val="Arial Cyr"/>
    </font>
    <font>
      <sz val="11"/>
      <color indexed="13"/>
      <name val="OrthodoxLoose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2"/>
      <color indexed="13"/>
      <name val="OrthodoxLoose"/>
      <family val="1"/>
      <charset val="204"/>
    </font>
    <font>
      <sz val="10"/>
      <color indexed="8"/>
      <name val="Arial Cyr"/>
    </font>
    <font>
      <b/>
      <sz val="8"/>
      <color indexed="9"/>
      <name val="Arial Cyr"/>
    </font>
    <font>
      <sz val="22"/>
      <color indexed="8"/>
      <name val="Arial Cyr"/>
    </font>
    <font>
      <sz val="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9"/>
      <name val="Arial"/>
      <family val="2"/>
      <charset val="204"/>
    </font>
    <font>
      <u/>
      <sz val="9"/>
      <color indexed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6"/>
      <color indexed="9"/>
      <name val="Arial"/>
      <family val="2"/>
      <charset val="204"/>
    </font>
    <font>
      <b/>
      <sz val="7"/>
      <color indexed="8"/>
      <name val="Arial"/>
      <family val="2"/>
      <charset val="204"/>
    </font>
    <font>
      <sz val="11"/>
      <color indexed="8"/>
      <name val="GOST type B"/>
      <family val="2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1"/>
      <color rgb="FFFFFF00"/>
      <name val="Calibri"/>
      <family val="2"/>
      <charset val="204"/>
    </font>
    <font>
      <b/>
      <sz val="11"/>
      <color rgb="FFFFFF00"/>
      <name val="OrthodoxLoose"/>
      <family val="1"/>
      <charset val="204"/>
    </font>
    <font>
      <sz val="11"/>
      <color rgb="FFFF0000"/>
      <name val="Calibri"/>
      <family val="2"/>
      <charset val="204"/>
    </font>
    <font>
      <b/>
      <sz val="9"/>
      <color rgb="FFFFFF00"/>
      <name val="OrthodoxLoose"/>
      <family val="1"/>
      <charset val="204"/>
    </font>
    <font>
      <sz val="16"/>
      <color rgb="FFFFFF00"/>
      <name val="OrthodoxLoose"/>
      <family val="1"/>
      <charset val="204"/>
    </font>
    <font>
      <b/>
      <sz val="16"/>
      <color rgb="FFFF0000"/>
      <name val="Calibri"/>
      <family val="2"/>
      <charset val="204"/>
    </font>
    <font>
      <b/>
      <sz val="11"/>
      <color rgb="FFFFFF00"/>
      <name val="GOST type B"/>
      <family val="2"/>
    </font>
    <font>
      <b/>
      <sz val="11"/>
      <color rgb="FFFF0000"/>
      <name val="GOST Type BU"/>
      <charset val="204"/>
    </font>
    <font>
      <sz val="10"/>
      <color theme="0"/>
      <name val="Arial Cyr"/>
    </font>
    <font>
      <b/>
      <sz val="12"/>
      <color rgb="FFFFFF00"/>
      <name val="OrthodoxLoose"/>
      <family val="1"/>
      <charset val="204"/>
    </font>
    <font>
      <b/>
      <sz val="20"/>
      <color rgb="FFFFFF00"/>
      <name val="GOST type B"/>
      <family val="2"/>
    </font>
    <font>
      <sz val="11"/>
      <color theme="0"/>
      <name val="OrthodoxLoose"/>
      <family val="1"/>
      <charset val="204"/>
    </font>
    <font>
      <sz val="14"/>
      <color rgb="FFFFFF00"/>
      <name val="OrthodoxLoose"/>
      <family val="1"/>
      <charset val="204"/>
    </font>
    <font>
      <sz val="22"/>
      <color rgb="FFFFFF00"/>
      <name val="OrthodoxLoose"/>
      <family val="1"/>
      <charset val="204"/>
    </font>
    <font>
      <b/>
      <sz val="14"/>
      <color rgb="FFFFFF00"/>
      <name val="GOST type B"/>
      <family val="2"/>
    </font>
    <font>
      <sz val="11"/>
      <color rgb="FFFF0000"/>
      <name val="GOST type B"/>
      <family val="2"/>
    </font>
    <font>
      <sz val="11"/>
      <color theme="0"/>
      <name val="GOST type B"/>
      <family val="2"/>
    </font>
    <font>
      <sz val="16"/>
      <color rgb="FFFF0000"/>
      <name val="GOST type B"/>
      <family val="2"/>
    </font>
    <font>
      <sz val="16"/>
      <color rgb="FFFFFF00"/>
      <name val="GOST type B"/>
      <family val="2"/>
    </font>
    <font>
      <sz val="14"/>
      <color rgb="FFFF0000"/>
      <name val="GOST type B"/>
      <family val="2"/>
    </font>
    <font>
      <sz val="20"/>
      <color rgb="FFFF0000"/>
      <name val="GOST type B"/>
      <family val="2"/>
    </font>
    <font>
      <sz val="11"/>
      <color indexed="8"/>
      <name val="Calibri"/>
      <family val="2"/>
      <charset val="204"/>
    </font>
    <font>
      <sz val="16"/>
      <color rgb="FFFF0000"/>
      <name val="OrthodoxLoose"/>
      <family val="1"/>
      <charset val="204"/>
    </font>
    <font>
      <b/>
      <sz val="11"/>
      <color rgb="FFFF0000"/>
      <name val="OrthodoxLoose"/>
      <family val="1"/>
      <charset val="204"/>
    </font>
    <font>
      <b/>
      <sz val="12"/>
      <color rgb="FFFF0000"/>
      <name val="Calibri"/>
      <family val="2"/>
      <charset val="204"/>
    </font>
    <font>
      <b/>
      <sz val="8"/>
      <color rgb="FFFF0000"/>
      <name val="OrthodoxLoose"/>
      <family val="1"/>
      <charset val="204"/>
    </font>
    <font>
      <b/>
      <sz val="8"/>
      <color rgb="FFFF0000"/>
      <name val="GOST type B"/>
      <family val="2"/>
    </font>
    <font>
      <b/>
      <sz val="10"/>
      <color rgb="FFFF0000"/>
      <name val="GOST type B"/>
      <family val="2"/>
    </font>
    <font>
      <b/>
      <sz val="12"/>
      <color rgb="FFFF0000"/>
      <name val="GOST type B"/>
      <family val="2"/>
    </font>
    <font>
      <b/>
      <sz val="14"/>
      <color rgb="FFFF0000"/>
      <name val="GOST type B"/>
      <family val="2"/>
    </font>
    <font>
      <b/>
      <sz val="11"/>
      <color rgb="FFFF0000"/>
      <name val="GOST type B"/>
      <family val="2"/>
    </font>
    <font>
      <sz val="18"/>
      <color rgb="FFFF0000"/>
      <name val="GOST type B"/>
      <family val="2"/>
    </font>
    <font>
      <sz val="22"/>
      <color rgb="FFFF0000"/>
      <name val="OrthodoxLoose"/>
      <family val="1"/>
      <charset val="204"/>
    </font>
    <font>
      <sz val="14"/>
      <color rgb="FFFF0000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20"/>
      <color rgb="FFFF0000"/>
      <name val="GOST type B"/>
      <family val="2"/>
    </font>
    <font>
      <b/>
      <sz val="14"/>
      <color rgb="FFFFFF00"/>
      <name val="Arial Narrow"/>
      <family val="2"/>
      <charset val="204"/>
    </font>
    <font>
      <sz val="14"/>
      <color rgb="FFFFFF00"/>
      <name val="Calibri"/>
      <family val="2"/>
      <charset val="204"/>
    </font>
    <font>
      <sz val="12"/>
      <color rgb="FFFFFF00"/>
      <name val="Calibri"/>
      <family val="2"/>
      <charset val="204"/>
    </font>
    <font>
      <b/>
      <sz val="14"/>
      <color rgb="FFFF0000"/>
      <name val="Arial Black"/>
      <family val="2"/>
      <charset val="204"/>
    </font>
    <font>
      <b/>
      <sz val="11"/>
      <color theme="0"/>
      <name val="GOST type B"/>
      <family val="2"/>
    </font>
    <font>
      <b/>
      <sz val="16"/>
      <color rgb="FFFF0000"/>
      <name val="GOST type B"/>
      <family val="2"/>
    </font>
    <font>
      <sz val="14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20"/>
      <color indexed="81"/>
      <name val="Tahoma"/>
      <family val="2"/>
      <charset val="204"/>
    </font>
    <font>
      <sz val="2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b/>
      <sz val="16"/>
      <color rgb="FFFFFF00"/>
      <name val="OrthodoxLoose"/>
      <family val="1"/>
      <charset val="204"/>
    </font>
    <font>
      <b/>
      <sz val="24"/>
      <color rgb="FFFF0000"/>
      <name val="Calibri"/>
      <family val="2"/>
      <charset val="204"/>
    </font>
    <font>
      <b/>
      <sz val="8"/>
      <color rgb="FFFF0000"/>
      <name val="Arial Black"/>
      <family val="2"/>
      <charset val="204"/>
    </font>
    <font>
      <b/>
      <sz val="16"/>
      <color rgb="FFFFFF00"/>
      <name val="GOST type B"/>
      <family val="2"/>
    </font>
    <font>
      <sz val="8"/>
      <color indexed="8"/>
      <name val="Calibri"/>
      <family val="2"/>
      <charset val="204"/>
    </font>
    <font>
      <sz val="13"/>
      <color rgb="FFFF0000"/>
      <name val="GOST type B"/>
      <family val="2"/>
    </font>
    <font>
      <b/>
      <sz val="14"/>
      <color rgb="FFFFFF00"/>
      <name val="OrthodoxLoose"/>
      <family val="1"/>
      <charset val="204"/>
    </font>
    <font>
      <b/>
      <sz val="16"/>
      <color rgb="FFFF0000"/>
      <name val="OrthodoxLoose"/>
      <family val="1"/>
      <charset val="204"/>
    </font>
    <font>
      <b/>
      <u/>
      <sz val="11"/>
      <color rgb="FFFF0000"/>
      <name val="OrthodoxLoose"/>
      <family val="1"/>
      <charset val="204"/>
    </font>
    <font>
      <b/>
      <u/>
      <sz val="18"/>
      <color rgb="FFFF0000"/>
      <name val="GOST type B"/>
      <family val="2"/>
    </font>
    <font>
      <b/>
      <sz val="14"/>
      <color theme="0"/>
      <name val="GOST type B"/>
      <family val="2"/>
    </font>
    <font>
      <b/>
      <u/>
      <sz val="18"/>
      <color rgb="FFFF0000"/>
      <name val="OrthodoxLoose"/>
      <family val="1"/>
      <charset val="204"/>
    </font>
    <font>
      <b/>
      <u/>
      <sz val="14"/>
      <color rgb="FFFF0000"/>
      <name val="GOST type B"/>
      <family val="2"/>
    </font>
    <font>
      <b/>
      <sz val="14"/>
      <color rgb="FFFF0000"/>
      <name val="Calibri"/>
      <family val="2"/>
      <charset val="204"/>
    </font>
    <font>
      <b/>
      <sz val="22"/>
      <color rgb="FFFFFF00"/>
      <name val="OrthodoxLoose"/>
      <family val="1"/>
      <charset val="204"/>
    </font>
    <font>
      <sz val="11"/>
      <color indexed="81"/>
      <name val="Tahoma"/>
      <family val="2"/>
      <charset val="204"/>
    </font>
    <font>
      <b/>
      <sz val="10"/>
      <color rgb="FFFF0000"/>
      <name val="OrthodoxLoose"/>
      <family val="1"/>
      <charset val="204"/>
    </font>
    <font>
      <sz val="8"/>
      <color theme="1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GOST Type BU"/>
      <charset val="204"/>
    </font>
    <font>
      <b/>
      <sz val="6"/>
      <color theme="0" tint="-0.499984740745262"/>
      <name val="Times New Roman"/>
      <family val="1"/>
      <charset val="204"/>
    </font>
    <font>
      <b/>
      <sz val="10"/>
      <color indexed="23"/>
      <name val="Times New Roman"/>
      <family val="1"/>
      <charset val="204"/>
    </font>
    <font>
      <b/>
      <sz val="6"/>
      <color indexed="23"/>
      <name val="Times New Roman"/>
      <family val="1"/>
      <charset val="204"/>
    </font>
    <font>
      <b/>
      <sz val="8"/>
      <color indexed="23"/>
      <name val="Times New Roman"/>
      <family val="1"/>
      <charset val="204"/>
    </font>
    <font>
      <b/>
      <sz val="10"/>
      <color rgb="FFC00000"/>
      <name val="Rockwell Condensed"/>
      <family val="1"/>
    </font>
    <font>
      <b/>
      <sz val="16"/>
      <color theme="1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u/>
      <sz val="12"/>
      <color theme="10"/>
      <name val="Times New Roman"/>
      <family val="2"/>
      <charset val="204"/>
    </font>
    <font>
      <b/>
      <sz val="9"/>
      <color theme="1"/>
      <name val="Times New Roman"/>
      <family val="1"/>
      <charset val="204"/>
    </font>
    <font>
      <b/>
      <sz val="16"/>
      <color theme="1"/>
      <name val="GOST Type BU"/>
      <charset val="204"/>
    </font>
    <font>
      <b/>
      <sz val="11"/>
      <color theme="1"/>
      <name val="GOST Type BU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8"/>
      <color theme="0" tint="-0.499984740745262"/>
      <name val="Times New Roman"/>
      <family val="1"/>
      <charset val="204"/>
    </font>
    <font>
      <sz val="12"/>
      <color theme="1"/>
      <name val="GOST Type BU"/>
      <charset val="204"/>
    </font>
    <font>
      <b/>
      <sz val="16"/>
      <color rgb="FFC00000"/>
      <name val="GOST Type BU"/>
      <charset val="204"/>
    </font>
    <font>
      <b/>
      <sz val="12"/>
      <color theme="1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28"/>
      <color theme="1"/>
      <name val="Times New Roman"/>
      <family val="2"/>
      <charset val="204"/>
    </font>
    <font>
      <b/>
      <sz val="11"/>
      <color theme="0"/>
      <name val="Times New Roman"/>
      <family val="1"/>
      <charset val="204"/>
    </font>
    <font>
      <b/>
      <sz val="8"/>
      <color rgb="FFF4C4D9"/>
      <name val="Times New Roman"/>
      <family val="1"/>
      <charset val="204"/>
    </font>
    <font>
      <b/>
      <sz val="6"/>
      <color rgb="FFF4C4D9"/>
      <name val="Times New Roman"/>
      <family val="1"/>
      <charset val="204"/>
    </font>
    <font>
      <b/>
      <sz val="9"/>
      <color rgb="FFF4C4D9"/>
      <name val="Times New Roman"/>
      <family val="1"/>
      <charset val="204"/>
    </font>
    <font>
      <b/>
      <sz val="12"/>
      <color rgb="FFF4C4D9"/>
      <name val="Times New Roman"/>
      <family val="1"/>
      <charset val="204"/>
    </font>
    <font>
      <b/>
      <sz val="11"/>
      <color rgb="FFF4C4D9"/>
      <name val="Times New Roman"/>
      <family val="1"/>
      <charset val="204"/>
    </font>
    <font>
      <b/>
      <sz val="10"/>
      <color rgb="FFF4C4D9"/>
      <name val="Times New Roman"/>
      <family val="1"/>
      <charset val="204"/>
    </font>
    <font>
      <sz val="6"/>
      <color rgb="FFF4C4D9"/>
      <name val="Times New Roman"/>
      <family val="1"/>
      <charset val="204"/>
    </font>
    <font>
      <b/>
      <sz val="7"/>
      <color rgb="FFF4C4D9"/>
      <name val="Times New Roman"/>
      <family val="1"/>
      <charset val="204"/>
    </font>
    <font>
      <b/>
      <sz val="11"/>
      <color rgb="FF00008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Symbol"/>
      <family val="1"/>
      <charset val="2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rgb="FFFF0000"/>
      <name val="GOST Type BU"/>
      <charset val="204"/>
    </font>
    <font>
      <b/>
      <sz val="12"/>
      <color rgb="FFFF0000"/>
      <name val="GOST Type BU"/>
      <charset val="204"/>
    </font>
    <font>
      <b/>
      <sz val="11"/>
      <color rgb="FFFF0000"/>
      <name val="Times New Roman"/>
      <family val="1"/>
      <charset val="204"/>
    </font>
    <font>
      <b/>
      <sz val="20"/>
      <color rgb="FFFF0000"/>
      <name val="GOST Type BU"/>
      <charset val="204"/>
    </font>
    <font>
      <b/>
      <sz val="8"/>
      <color rgb="FFFF0000"/>
      <name val="Times New Roman"/>
      <family val="1"/>
      <charset val="204"/>
    </font>
    <font>
      <u/>
      <sz val="8"/>
      <color rgb="FFFF0000"/>
      <name val="Times New Roman"/>
      <family val="2"/>
      <charset val="204"/>
    </font>
    <font>
      <b/>
      <sz val="9"/>
      <color rgb="FFFF0000"/>
      <name val="GOST type B"/>
      <family val="2"/>
    </font>
    <font>
      <b/>
      <sz val="24"/>
      <color rgb="FFFFFF00"/>
      <name val="OrthodoxLoose"/>
      <family val="1"/>
      <charset val="204"/>
    </font>
    <font>
      <b/>
      <sz val="16"/>
      <color rgb="FFFF0000"/>
      <name val="GOST Type BU"/>
      <charset val="204"/>
    </font>
    <font>
      <b/>
      <sz val="14"/>
      <color rgb="FFFF0000"/>
      <name val="GOST Type BU"/>
      <charset val="204"/>
    </font>
    <font>
      <b/>
      <sz val="14"/>
      <color rgb="FFFF0000"/>
      <name val="Times New Roman"/>
      <family val="1"/>
      <charset val="204"/>
    </font>
    <font>
      <b/>
      <sz val="14"/>
      <color indexed="8"/>
      <name val="GOST type B"/>
      <family val="2"/>
    </font>
    <font>
      <sz val="9"/>
      <color indexed="8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u/>
      <sz val="9"/>
      <color rgb="FFFF0000"/>
      <name val="Times New Roman"/>
      <family val="2"/>
      <charset val="204"/>
    </font>
    <font>
      <sz val="9"/>
      <color rgb="FFFF0000"/>
      <name val="Calibri"/>
      <family val="2"/>
      <charset val="204"/>
    </font>
    <font>
      <sz val="36"/>
      <color indexed="81"/>
      <name val="Tahoma"/>
      <family val="2"/>
      <charset val="204"/>
    </font>
    <font>
      <sz val="9"/>
      <color rgb="FFFF0000"/>
      <name val="GOST type B"/>
      <family val="2"/>
    </font>
    <font>
      <b/>
      <sz val="14"/>
      <color rgb="FFFF0000"/>
      <name val="OrthodoxLoose"/>
      <family val="1"/>
      <charset val="204"/>
    </font>
    <font>
      <b/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9"/>
      <color rgb="FFFF0000"/>
      <name val="OrthodoxLoose"/>
      <family val="1"/>
      <charset val="204"/>
    </font>
    <font>
      <b/>
      <sz val="9"/>
      <color theme="0"/>
      <name val="OrthodoxLoose"/>
      <family val="1"/>
      <charset val="204"/>
    </font>
    <font>
      <b/>
      <sz val="11"/>
      <color theme="0"/>
      <name val="OrthodoxLoose"/>
      <family val="1"/>
      <charset val="204"/>
    </font>
    <font>
      <b/>
      <sz val="11"/>
      <color theme="0"/>
      <name val="Calibri"/>
      <family val="2"/>
      <charset val="204"/>
    </font>
    <font>
      <b/>
      <i/>
      <u/>
      <sz val="11"/>
      <color rgb="FFFF3300"/>
      <name val="Calibri"/>
      <family val="2"/>
      <charset val="204"/>
    </font>
    <font>
      <b/>
      <sz val="18"/>
      <color rgb="FFFFFF00"/>
      <name val="GOST type B"/>
      <family val="2"/>
    </font>
    <font>
      <b/>
      <sz val="18"/>
      <color rgb="FFFFFF00"/>
      <name val="Old English Text MT"/>
      <family val="4"/>
    </font>
    <font>
      <b/>
      <u/>
      <sz val="16"/>
      <color rgb="FFFFFF00"/>
      <name val="OrthodoxLoose"/>
      <family val="1"/>
      <charset val="204"/>
    </font>
    <font>
      <b/>
      <sz val="11"/>
      <color theme="0"/>
      <name val="GOST Type BU"/>
      <charset val="204"/>
    </font>
    <font>
      <b/>
      <sz val="16"/>
      <color theme="0"/>
      <name val="Calibri"/>
      <family val="2"/>
      <charset val="204"/>
    </font>
    <font>
      <sz val="22"/>
      <color theme="0"/>
      <name val="OrthodoxLoose"/>
      <family val="1"/>
      <charset val="204"/>
    </font>
    <font>
      <sz val="22"/>
      <color theme="0"/>
      <name val="Arial"/>
      <family val="2"/>
      <charset val="204"/>
    </font>
    <font>
      <sz val="24"/>
      <color theme="0"/>
      <name val="OrthodoxLoose"/>
      <family val="1"/>
      <charset val="204"/>
    </font>
    <font>
      <sz val="14"/>
      <color theme="0"/>
      <name val="Arial Cyr"/>
    </font>
    <font>
      <sz val="18"/>
      <color theme="0"/>
      <name val="Old English Text MT"/>
      <family val="4"/>
    </font>
    <font>
      <b/>
      <sz val="12"/>
      <color theme="0"/>
      <name val="OrthodoxLoose"/>
      <family val="1"/>
      <charset val="204"/>
    </font>
    <font>
      <b/>
      <sz val="20"/>
      <color theme="0"/>
      <name val="GOST type B"/>
      <family val="2"/>
    </font>
    <font>
      <sz val="20"/>
      <color theme="0"/>
      <name val="OrthodoxLoose"/>
      <family val="1"/>
      <charset val="204"/>
    </font>
    <font>
      <sz val="14"/>
      <color theme="0"/>
      <name val="OrthodoxLoose"/>
      <family val="1"/>
      <charset val="204"/>
    </font>
    <font>
      <b/>
      <sz val="14"/>
      <color theme="0"/>
      <name val="Arial Cyr"/>
      <charset val="204"/>
    </font>
    <font>
      <sz val="14"/>
      <color theme="0"/>
      <name val="GOST Type BU"/>
      <charset val="204"/>
    </font>
    <font>
      <sz val="16"/>
      <color theme="0"/>
      <name val="GOST Type BU"/>
      <charset val="204"/>
    </font>
    <font>
      <b/>
      <sz val="11"/>
      <color theme="0"/>
      <name val="Arial Cyr"/>
      <charset val="204"/>
    </font>
    <font>
      <b/>
      <sz val="9"/>
      <color theme="0"/>
      <name val="Arial Cyr"/>
      <charset val="204"/>
    </font>
    <font>
      <sz val="9"/>
      <color theme="0"/>
      <name val="OrthodoxLoose"/>
      <family val="1"/>
      <charset val="204"/>
    </font>
    <font>
      <sz val="9"/>
      <color theme="0"/>
      <name val="Arial Cyr"/>
    </font>
    <font>
      <sz val="20"/>
      <color theme="0"/>
      <name val="Arial Cyr"/>
    </font>
    <font>
      <sz val="9"/>
      <color theme="0"/>
      <name val="Segoe UI"/>
      <family val="2"/>
      <charset val="204"/>
    </font>
    <font>
      <sz val="16"/>
      <color theme="0"/>
      <name val="OrthodoxLoose"/>
      <family val="1"/>
      <charset val="204"/>
    </font>
    <font>
      <u/>
      <sz val="8"/>
      <color theme="0"/>
      <name val="Arial Cyr"/>
    </font>
    <font>
      <sz val="12"/>
      <color theme="0"/>
      <name val="OrthodoxLoose"/>
      <family val="1"/>
      <charset val="204"/>
    </font>
    <font>
      <sz val="18"/>
      <color theme="0"/>
      <name val="OrthodoxLoose"/>
      <family val="1"/>
      <charset val="204"/>
    </font>
    <font>
      <b/>
      <sz val="14"/>
      <color theme="0"/>
      <name val="GOST Type BU"/>
      <charset val="204"/>
    </font>
    <font>
      <b/>
      <sz val="14"/>
      <color theme="0"/>
      <name val="OrthodoxLoose"/>
      <family val="1"/>
      <charset val="204"/>
    </font>
    <font>
      <b/>
      <u/>
      <sz val="14"/>
      <color theme="0"/>
      <name val="GOST Type BU"/>
      <charset val="204"/>
    </font>
    <font>
      <b/>
      <sz val="8"/>
      <color rgb="FFFF0000"/>
      <name val="GOST Type BU"/>
      <charset val="204"/>
    </font>
    <font>
      <sz val="12"/>
      <color rgb="FFFFFF00"/>
      <name val="OrthodoxLoose"/>
      <family val="1"/>
      <charset val="204"/>
    </font>
    <font>
      <sz val="9"/>
      <color rgb="FFFFFF00"/>
      <name val="GOST type B"/>
      <family val="2"/>
    </font>
    <font>
      <b/>
      <sz val="20"/>
      <color rgb="FFFF0000"/>
      <name val="OrthodoxLoose"/>
      <family val="1"/>
      <charset val="204"/>
    </font>
    <font>
      <u/>
      <sz val="14"/>
      <color rgb="FFFF0000"/>
      <name val="OrthodoxLoose"/>
      <family val="1"/>
      <charset val="204"/>
    </font>
    <font>
      <u/>
      <sz val="12"/>
      <color rgb="FFFF0000"/>
      <name val="OrthodoxLoose"/>
      <family val="1"/>
      <charset val="204"/>
    </font>
    <font>
      <b/>
      <sz val="12"/>
      <color rgb="FFFF0000"/>
      <name val="OrthodoxLoose"/>
      <family val="1"/>
      <charset val="204"/>
    </font>
    <font>
      <u/>
      <sz val="11"/>
      <color rgb="FFFF0000"/>
      <name val="OrthodoxLoose"/>
      <family val="1"/>
      <charset val="204"/>
    </font>
    <font>
      <u/>
      <sz val="11"/>
      <color rgb="FFFF0000"/>
      <name val="Calibri"/>
      <family val="2"/>
      <charset val="204"/>
    </font>
    <font>
      <u/>
      <sz val="16"/>
      <color rgb="FFFF0000"/>
      <name val="OrthodoxLoose"/>
      <family val="1"/>
      <charset val="204"/>
    </font>
    <font>
      <sz val="14"/>
      <color rgb="FFFF0000"/>
      <name val="OrthodoxLoose"/>
      <family val="1"/>
      <charset val="204"/>
    </font>
    <font>
      <sz val="11"/>
      <color rgb="FFFF0000"/>
      <name val="OrthodoxLoose"/>
      <family val="1"/>
      <charset val="204"/>
    </font>
    <font>
      <sz val="20"/>
      <color rgb="FFFF0000"/>
      <name val="OrthodoxLoose"/>
      <family val="1"/>
      <charset val="204"/>
    </font>
    <font>
      <sz val="22"/>
      <color rgb="FFFF0000"/>
      <name val="GOST type B"/>
      <family val="2"/>
    </font>
    <font>
      <b/>
      <sz val="22"/>
      <color rgb="FFFF0000"/>
      <name val="OrthodoxLoose"/>
      <family val="1"/>
      <charset val="204"/>
    </font>
    <font>
      <b/>
      <u/>
      <sz val="22"/>
      <color rgb="FFFF0000"/>
      <name val="OrthodoxLoose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11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C00"/>
        <bgColor indexed="64"/>
      </patternFill>
    </fill>
    <fill>
      <patternFill patternType="solid">
        <fgColor rgb="FFFFFF37"/>
        <bgColor indexed="64"/>
      </patternFill>
    </fill>
    <fill>
      <patternFill patternType="solid">
        <fgColor rgb="FF1EF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</fills>
  <borders count="168">
    <border>
      <left/>
      <right/>
      <top/>
      <bottom/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dotted">
        <color rgb="FFFB3E11"/>
      </left>
      <right style="dotted">
        <color rgb="FFFB3E11"/>
      </right>
      <top style="dotted">
        <color rgb="FFFB3E11"/>
      </top>
      <bottom style="dotted">
        <color rgb="FFFB3E11"/>
      </bottom>
      <diagonal/>
    </border>
    <border>
      <left style="dotted">
        <color rgb="FFFB3E11"/>
      </left>
      <right style="dotted">
        <color rgb="FFFB3E11"/>
      </right>
      <top style="dotted">
        <color rgb="FFFB3E11"/>
      </top>
      <bottom/>
      <diagonal/>
    </border>
    <border>
      <left style="dotted">
        <color rgb="FFFB3E11"/>
      </left>
      <right style="dotted">
        <color rgb="FFFB3E11"/>
      </right>
      <top/>
      <bottom style="dotted">
        <color rgb="FFFB3E11"/>
      </bottom>
      <diagonal/>
    </border>
    <border>
      <left style="dotted">
        <color rgb="FFFB3E11"/>
      </left>
      <right/>
      <top style="dotted">
        <color rgb="FFFB3E11"/>
      </top>
      <bottom style="dotted">
        <color rgb="FFFB3E11"/>
      </bottom>
      <diagonal/>
    </border>
    <border>
      <left style="dotted">
        <color rgb="FFFB3E11"/>
      </left>
      <right/>
      <top/>
      <bottom style="dotted">
        <color rgb="FFFB3E11"/>
      </bottom>
      <diagonal/>
    </border>
    <border>
      <left style="dotted">
        <color rgb="FFFB3E11"/>
      </left>
      <right style="dotted">
        <color rgb="FFFB3E11"/>
      </right>
      <top/>
      <bottom/>
      <diagonal/>
    </border>
    <border>
      <left style="thin">
        <color rgb="FFFFFF00"/>
      </left>
      <right style="thin">
        <color rgb="FFFFFF00"/>
      </right>
      <top/>
      <bottom/>
      <diagonal/>
    </border>
    <border>
      <left style="thin">
        <color rgb="FFFFFF00"/>
      </left>
      <right/>
      <top/>
      <bottom/>
      <diagonal/>
    </border>
    <border>
      <left style="dotted">
        <color rgb="FFFFFF00"/>
      </left>
      <right style="thin">
        <color rgb="FFFFFF00"/>
      </right>
      <top/>
      <bottom style="dotted">
        <color rgb="FFFFFF00"/>
      </bottom>
      <diagonal/>
    </border>
    <border>
      <left/>
      <right style="dotted">
        <color rgb="FFFB3E11"/>
      </right>
      <top style="dotted">
        <color rgb="FFFB3E11"/>
      </top>
      <bottom style="dotted">
        <color rgb="FFFB3E11"/>
      </bottom>
      <diagonal/>
    </border>
    <border>
      <left style="dotted">
        <color rgb="FFFF0000"/>
      </left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B3E11"/>
      </left>
      <right/>
      <top style="dotted">
        <color rgb="FFFB3E11"/>
      </top>
      <bottom/>
      <diagonal/>
    </border>
    <border>
      <left/>
      <right/>
      <top style="dotted">
        <color rgb="FFFB3E11"/>
      </top>
      <bottom style="dotted">
        <color rgb="FFFB3E11"/>
      </bottom>
      <diagonal/>
    </border>
    <border>
      <left style="dotted">
        <color rgb="FFFFFF00"/>
      </left>
      <right/>
      <top/>
      <bottom/>
      <diagonal/>
    </border>
    <border>
      <left/>
      <right style="dotted">
        <color rgb="FFFFFF00"/>
      </right>
      <top/>
      <bottom/>
      <diagonal/>
    </border>
    <border>
      <left style="dotted">
        <color rgb="FFFFFF00"/>
      </left>
      <right/>
      <top style="dotted">
        <color rgb="FFFFFF00"/>
      </top>
      <bottom/>
      <diagonal/>
    </border>
    <border>
      <left style="thin">
        <color rgb="FFFFFF00"/>
      </left>
      <right style="dotted">
        <color rgb="FFFFFF00"/>
      </right>
      <top style="thin">
        <color rgb="FFFB3E11"/>
      </top>
      <bottom/>
      <diagonal/>
    </border>
    <border>
      <left/>
      <right style="dotted">
        <color rgb="FFFFFF00"/>
      </right>
      <top/>
      <bottom style="dotted">
        <color rgb="FFFFFF00"/>
      </bottom>
      <diagonal/>
    </border>
    <border>
      <left/>
      <right/>
      <top/>
      <bottom style="dotted">
        <color rgb="FFFFFF00"/>
      </bottom>
      <diagonal/>
    </border>
    <border>
      <left/>
      <right/>
      <top style="dotted">
        <color rgb="FFFFFF00"/>
      </top>
      <bottom/>
      <diagonal/>
    </border>
    <border>
      <left/>
      <right style="hair">
        <color rgb="FFFFFF00"/>
      </right>
      <top style="dotted">
        <color rgb="FFFFFF00"/>
      </top>
      <bottom/>
      <diagonal/>
    </border>
    <border>
      <left/>
      <right style="hair">
        <color rgb="FFFFFF00"/>
      </right>
      <top style="hair">
        <color rgb="FFFFFF00"/>
      </top>
      <bottom/>
      <diagonal/>
    </border>
    <border>
      <left/>
      <right style="hair">
        <color rgb="FFFFFF00"/>
      </right>
      <top/>
      <bottom/>
      <diagonal/>
    </border>
    <border>
      <left/>
      <right/>
      <top/>
      <bottom style="dotted">
        <color rgb="FFFF0000"/>
      </bottom>
      <diagonal/>
    </border>
    <border>
      <left/>
      <right style="hair">
        <color rgb="FFFFFF00"/>
      </right>
      <top/>
      <bottom style="dotted">
        <color rgb="FFFF0000"/>
      </bottom>
      <diagonal/>
    </border>
    <border>
      <left/>
      <right style="hair">
        <color rgb="FFFFFF00"/>
      </right>
      <top/>
      <bottom style="hair">
        <color rgb="FFFFFF00"/>
      </bottom>
      <diagonal/>
    </border>
    <border>
      <left style="medium">
        <color indexed="64"/>
      </left>
      <right style="medium">
        <color indexed="64"/>
      </right>
      <top style="hair">
        <color rgb="FFFF0000"/>
      </top>
      <bottom style="medium">
        <color indexed="64"/>
      </bottom>
      <diagonal/>
    </border>
    <border>
      <left/>
      <right style="hair">
        <color rgb="FFFF0000"/>
      </right>
      <top style="hair">
        <color rgb="FFFF0000"/>
      </top>
      <bottom/>
      <diagonal/>
    </border>
    <border>
      <left/>
      <right style="dotted">
        <color rgb="FFFF0000"/>
      </right>
      <top/>
      <bottom/>
      <diagonal/>
    </border>
    <border>
      <left/>
      <right style="hair">
        <color rgb="FFFF0000"/>
      </right>
      <top/>
      <bottom/>
      <diagonal/>
    </border>
    <border>
      <left/>
      <right/>
      <top style="hair">
        <color rgb="FFFF0000"/>
      </top>
      <bottom/>
      <diagonal/>
    </border>
    <border>
      <left style="hair">
        <color rgb="FFFF0000"/>
      </left>
      <right/>
      <top/>
      <bottom/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dotted">
        <color rgb="FFFF0000"/>
      </left>
      <right/>
      <top/>
      <bottom/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 style="dotted">
        <color rgb="FFFF0000"/>
      </left>
      <right/>
      <top/>
      <bottom style="hair">
        <color rgb="FFFF0000"/>
      </bottom>
      <diagonal/>
    </border>
    <border>
      <left/>
      <right style="dotted">
        <color rgb="FFFF0000"/>
      </right>
      <top/>
      <bottom style="hair">
        <color rgb="FFFF0000"/>
      </bottom>
      <diagonal/>
    </border>
    <border>
      <left style="dotted">
        <color rgb="FFFF0000"/>
      </left>
      <right/>
      <top/>
      <bottom style="dotted">
        <color rgb="FFFF0000"/>
      </bottom>
      <diagonal/>
    </border>
    <border>
      <left/>
      <right style="dotted">
        <color rgb="FFFF0000"/>
      </right>
      <top/>
      <bottom style="dotted">
        <color rgb="FFFF0000"/>
      </bottom>
      <diagonal/>
    </border>
    <border>
      <left/>
      <right/>
      <top style="dotted">
        <color rgb="FFFB3E11"/>
      </top>
      <bottom/>
      <diagonal/>
    </border>
    <border>
      <left/>
      <right style="dotted">
        <color rgb="FFFB3E11"/>
      </right>
      <top style="dotted">
        <color rgb="FFFB3E11"/>
      </top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 style="thin">
        <color rgb="FFFB3E11"/>
      </left>
      <right style="thin">
        <color rgb="FFFB3E11"/>
      </right>
      <top style="dotted">
        <color rgb="FFFFFF00"/>
      </top>
      <bottom/>
      <diagonal/>
    </border>
    <border>
      <left style="thin">
        <color rgb="FFFB3E11"/>
      </left>
      <right style="thin">
        <color rgb="FFFB3E11"/>
      </right>
      <top/>
      <bottom/>
      <diagonal/>
    </border>
    <border>
      <left/>
      <right style="dotted">
        <color rgb="FFFB3E11"/>
      </right>
      <top/>
      <bottom style="dotted">
        <color rgb="FFFB3E11"/>
      </bottom>
      <diagonal/>
    </border>
    <border>
      <left/>
      <right style="dotted">
        <color rgb="FFFFFF00"/>
      </right>
      <top style="dotted">
        <color rgb="FFFFFF00"/>
      </top>
      <bottom/>
      <diagonal/>
    </border>
    <border>
      <left style="dotted">
        <color rgb="FFFFFF00"/>
      </left>
      <right/>
      <top/>
      <bottom style="dotted">
        <color rgb="FFFF0000"/>
      </bottom>
      <diagonal/>
    </border>
    <border>
      <left/>
      <right style="dotted">
        <color rgb="FFFFFF00"/>
      </right>
      <top/>
      <bottom style="dotted">
        <color rgb="FFFF0000"/>
      </bottom>
      <diagonal/>
    </border>
    <border>
      <left/>
      <right/>
      <top/>
      <bottom style="hair">
        <color rgb="FFFFFF00"/>
      </bottom>
      <diagonal/>
    </border>
    <border>
      <left style="dotted">
        <color rgb="FFFF0000"/>
      </left>
      <right/>
      <top style="dotted">
        <color rgb="FFFF0000"/>
      </top>
      <bottom/>
      <diagonal/>
    </border>
    <border>
      <left/>
      <right/>
      <top style="dotted">
        <color rgb="FFFF0000"/>
      </top>
      <bottom/>
      <diagonal/>
    </border>
    <border>
      <left style="hair">
        <color rgb="FFFFFF00"/>
      </left>
      <right/>
      <top style="hair">
        <color rgb="FFFFFF00"/>
      </top>
      <bottom/>
      <diagonal/>
    </border>
    <border>
      <left style="hair">
        <color rgb="FFFFFF00"/>
      </left>
      <right/>
      <top/>
      <bottom style="hair">
        <color rgb="FFFFFF00"/>
      </bottom>
      <diagonal/>
    </border>
    <border>
      <left style="hair">
        <color rgb="FFFF0000"/>
      </left>
      <right/>
      <top style="hair">
        <color rgb="FFFF0000"/>
      </top>
      <bottom/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/>
      <bottom style="hair">
        <color rgb="FFFF0000"/>
      </bottom>
      <diagonal/>
    </border>
    <border>
      <left/>
      <right style="dotted">
        <color rgb="FFFF0000"/>
      </right>
      <top style="hair">
        <color rgb="FFFF0000"/>
      </top>
      <bottom/>
      <diagonal/>
    </border>
    <border>
      <left style="dotted">
        <color rgb="FFFF0000"/>
      </left>
      <right/>
      <top style="dotted">
        <color rgb="FFFF0000"/>
      </top>
      <bottom style="dotted">
        <color rgb="FFFF0000"/>
      </bottom>
      <diagonal/>
    </border>
    <border>
      <left/>
      <right/>
      <top style="dotted">
        <color rgb="FFFF0000"/>
      </top>
      <bottom style="dotted">
        <color rgb="FFFF0000"/>
      </bottom>
      <diagonal/>
    </border>
    <border>
      <left/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/>
      <right/>
      <top/>
      <bottom style="dotted">
        <color rgb="FFFB3E11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dotted">
        <color rgb="FFFF0000"/>
      </left>
      <right style="dotted">
        <color rgb="FFFF0000"/>
      </right>
      <top style="hair">
        <color rgb="FFFF0000"/>
      </top>
      <bottom style="hair">
        <color rgb="FFFF0000"/>
      </bottom>
      <diagonal/>
    </border>
    <border>
      <left/>
      <right style="dotted">
        <color rgb="FFFB3E11"/>
      </right>
      <top style="hair">
        <color rgb="FFFF0000"/>
      </top>
      <bottom style="hair">
        <color rgb="FFFF0000"/>
      </bottom>
      <diagonal/>
    </border>
    <border>
      <left style="dotted">
        <color rgb="FFFB3E11"/>
      </left>
      <right style="dotted">
        <color rgb="FFFB3E11"/>
      </right>
      <top style="hair">
        <color rgb="FFFF0000"/>
      </top>
      <bottom style="hair">
        <color rgb="FFFF0000"/>
      </bottom>
      <diagonal/>
    </border>
    <border>
      <left style="dotted">
        <color rgb="FFFB3E11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dotted">
        <color rgb="FFFF0000"/>
      </top>
      <bottom style="hair">
        <color rgb="FFFF0000"/>
      </bottom>
      <diagonal/>
    </border>
    <border>
      <left/>
      <right style="hair">
        <color rgb="FFFF0000"/>
      </right>
      <top style="dotted">
        <color rgb="FFFF0000"/>
      </top>
      <bottom/>
      <diagonal/>
    </border>
    <border>
      <left/>
      <right style="hair">
        <color rgb="FFFF0000"/>
      </right>
      <top style="dotted">
        <color rgb="FFFF0000"/>
      </top>
      <bottom style="hair">
        <color rgb="FFFF0000"/>
      </bottom>
      <diagonal/>
    </border>
    <border>
      <left/>
      <right style="hair">
        <color rgb="FFFF0000"/>
      </right>
      <top style="dotted">
        <color rgb="FFFF0000"/>
      </top>
      <bottom style="dotted">
        <color rgb="FFFF0000"/>
      </bottom>
      <diagonal/>
    </border>
    <border>
      <left style="hair">
        <color rgb="FFFF0000"/>
      </left>
      <right style="hair">
        <color rgb="FFFF0000"/>
      </right>
      <top style="dotted">
        <color rgb="FFFF0000"/>
      </top>
      <bottom style="dotted">
        <color rgb="FFFF0000"/>
      </bottom>
      <diagonal/>
    </border>
    <border>
      <left style="hair">
        <color rgb="FFFF0000"/>
      </left>
      <right/>
      <top style="dotted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 style="slantDashDot">
        <color rgb="FFFFFF00"/>
      </top>
      <bottom style="slantDashDot">
        <color rgb="FFFFFF00"/>
      </bottom>
      <diagonal/>
    </border>
    <border>
      <left/>
      <right style="mediumDashDotDot">
        <color rgb="FFFFFF00"/>
      </right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 style="mediumDashDotDot">
        <color rgb="FFFFFF00"/>
      </right>
      <top/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/>
      <diagonal/>
    </border>
    <border>
      <left style="dashed">
        <color rgb="FFFF0000"/>
      </left>
      <right style="dashed">
        <color rgb="FFFF0000"/>
      </right>
      <top/>
      <bottom style="dashed">
        <color rgb="FFFF0000"/>
      </bottom>
      <diagonal/>
    </border>
    <border>
      <left style="mediumDashDotDot">
        <color rgb="FFFFFF00"/>
      </left>
      <right/>
      <top/>
      <bottom/>
      <diagonal/>
    </border>
    <border>
      <left style="thin">
        <color rgb="FFFB3E11"/>
      </left>
      <right/>
      <top/>
      <bottom/>
      <diagonal/>
    </border>
    <border>
      <left/>
      <right/>
      <top style="dashed">
        <color rgb="FFFF0000"/>
      </top>
      <bottom/>
      <diagonal/>
    </border>
    <border>
      <left/>
      <right style="dashed">
        <color rgb="FFFF0000"/>
      </right>
      <top/>
      <bottom/>
      <diagonal/>
    </border>
    <border>
      <left style="hair">
        <color rgb="FFFF0000"/>
      </left>
      <right/>
      <top style="dotted">
        <color rgb="FFFF0000"/>
      </top>
      <bottom style="dotted">
        <color rgb="FFFF0000"/>
      </bottom>
      <diagonal/>
    </border>
    <border>
      <left style="hair">
        <color rgb="FFFF0000"/>
      </left>
      <right/>
      <top/>
      <bottom style="dotted">
        <color rgb="FFFF0000"/>
      </bottom>
      <diagonal/>
    </border>
    <border>
      <left style="dotted">
        <color rgb="FFFF0000"/>
      </left>
      <right style="dotted">
        <color rgb="FFFF0000"/>
      </right>
      <top/>
      <bottom style="dotted">
        <color rgb="FFFF0000"/>
      </bottom>
      <diagonal/>
    </border>
    <border>
      <left/>
      <right/>
      <top/>
      <bottom style="double">
        <color theme="9" tint="-0.249977111117893"/>
      </bottom>
      <diagonal/>
    </border>
    <border>
      <left/>
      <right style="double">
        <color theme="9" tint="-0.249977111117893"/>
      </right>
      <top/>
      <bottom/>
      <diagonal/>
    </border>
    <border>
      <left/>
      <right/>
      <top style="double">
        <color theme="9" tint="-0.249977111117893"/>
      </top>
      <bottom/>
      <diagonal/>
    </border>
    <border>
      <left/>
      <right style="double">
        <color theme="9" tint="-0.249977111117893"/>
      </right>
      <top style="double">
        <color theme="9" tint="-0.249977111117893"/>
      </top>
      <bottom/>
      <diagonal/>
    </border>
    <border>
      <left/>
      <right style="double">
        <color theme="9" tint="-0.249977111117893"/>
      </right>
      <top/>
      <bottom style="double">
        <color theme="9" tint="-0.249977111117893"/>
      </bottom>
      <diagonal/>
    </border>
    <border>
      <left/>
      <right style="double">
        <color rgb="FFFF0000"/>
      </right>
      <top/>
      <bottom/>
      <diagonal/>
    </border>
    <border>
      <left/>
      <right/>
      <top style="double">
        <color rgb="FFFF0000"/>
      </top>
      <bottom/>
      <diagonal/>
    </border>
    <border>
      <left/>
      <right/>
      <top style="double">
        <color rgb="FFFF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thin">
        <color indexed="64"/>
      </left>
      <right style="double">
        <color rgb="FFFF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ashed">
        <color rgb="FFFFFF00"/>
      </top>
      <bottom/>
      <diagonal/>
    </border>
    <border>
      <left/>
      <right style="dashed">
        <color rgb="FFFFFF00"/>
      </right>
      <top style="dashed">
        <color rgb="FFFFFF00"/>
      </top>
      <bottom/>
      <diagonal/>
    </border>
    <border>
      <left style="dashed">
        <color rgb="FFFFFF00"/>
      </left>
      <right/>
      <top/>
      <bottom/>
      <diagonal/>
    </border>
    <border>
      <left/>
      <right style="dashed">
        <color rgb="FFFFFF00"/>
      </right>
      <top/>
      <bottom/>
      <diagonal/>
    </border>
    <border>
      <left style="dashed">
        <color rgb="FFFFFF00"/>
      </left>
      <right/>
      <top/>
      <bottom style="dashed">
        <color rgb="FFFFFF00"/>
      </bottom>
      <diagonal/>
    </border>
    <border>
      <left/>
      <right/>
      <top/>
      <bottom style="dashed">
        <color rgb="FFFFFF00"/>
      </bottom>
      <diagonal/>
    </border>
    <border>
      <left/>
      <right style="dashed">
        <color rgb="FFFFFF00"/>
      </right>
      <top/>
      <bottom style="dashed">
        <color rgb="FFFFFF00"/>
      </bottom>
      <diagonal/>
    </border>
    <border>
      <left/>
      <right style="dotted">
        <color rgb="FFFF0000"/>
      </right>
      <top style="dotted">
        <color rgb="FFFF0000"/>
      </top>
      <bottom/>
      <diagonal/>
    </border>
    <border>
      <left style="dotted">
        <color rgb="FFFF0000"/>
      </left>
      <right style="dotted">
        <color rgb="FFFF0000"/>
      </right>
      <top style="dotted">
        <color rgb="FFFF0000"/>
      </top>
      <bottom/>
      <diagonal/>
    </border>
    <border>
      <left/>
      <right/>
      <top/>
      <bottom style="dashed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dotted">
        <color rgb="FFFF0000"/>
      </bottom>
      <diagonal/>
    </border>
    <border>
      <left/>
      <right style="thick">
        <color rgb="FFFF0000"/>
      </right>
      <top/>
      <bottom style="dotted">
        <color rgb="FFFF0000"/>
      </bottom>
      <diagonal/>
    </border>
  </borders>
  <cellStyleXfs count="7">
    <xf numFmtId="0" fontId="0" fillId="0" borderId="0" applyFill="0" applyProtection="0"/>
    <xf numFmtId="0" fontId="7" fillId="0" borderId="0" applyFill="0" applyProtection="0"/>
    <xf numFmtId="0" fontId="41" fillId="0" borderId="0" applyFill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6" fillId="0" borderId="0"/>
    <xf numFmtId="0" fontId="9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34">
    <xf numFmtId="0" fontId="0" fillId="0" borderId="0" xfId="0" applyFill="1" applyProtection="1"/>
    <xf numFmtId="0" fontId="0" fillId="0" borderId="0" xfId="0" applyFill="1" applyBorder="1" applyProtection="1"/>
    <xf numFmtId="0" fontId="19" fillId="0" borderId="0" xfId="0" applyFont="1" applyFill="1" applyProtection="1"/>
    <xf numFmtId="0" fontId="2" fillId="0" borderId="0" xfId="0" applyFont="1" applyFill="1" applyAlignment="1" applyProtection="1">
      <alignment vertic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0" fillId="0" borderId="0" xfId="0" applyFill="1" applyAlignment="1" applyProtection="1">
      <alignment vertical="center"/>
    </xf>
    <xf numFmtId="0" fontId="7" fillId="0" borderId="0" xfId="1" applyFill="1" applyAlignment="1" applyProtection="1"/>
    <xf numFmtId="0" fontId="8" fillId="2" borderId="0" xfId="1" applyFont="1" applyFill="1" applyAlignment="1" applyProtection="1"/>
    <xf numFmtId="0" fontId="7" fillId="0" borderId="0" xfId="1" applyFill="1" applyProtection="1"/>
    <xf numFmtId="0" fontId="10" fillId="0" borderId="0" xfId="1" applyFont="1" applyFill="1" applyAlignment="1" applyProtection="1"/>
    <xf numFmtId="0" fontId="12" fillId="3" borderId="1" xfId="1" applyFont="1" applyFill="1" applyBorder="1" applyAlignment="1" applyProtection="1">
      <alignment horizontal="center" vertical="center"/>
    </xf>
    <xf numFmtId="0" fontId="12" fillId="3" borderId="2" xfId="1" applyFont="1" applyFill="1" applyBorder="1" applyAlignment="1" applyProtection="1">
      <alignment horizontal="center" vertical="center"/>
    </xf>
    <xf numFmtId="0" fontId="12" fillId="3" borderId="3" xfId="1" applyFont="1" applyFill="1" applyBorder="1" applyAlignment="1" applyProtection="1">
      <alignment horizontal="center" vertical="center"/>
    </xf>
    <xf numFmtId="0" fontId="14" fillId="0" borderId="4" xfId="1" applyFont="1" applyFill="1" applyBorder="1" applyAlignment="1" applyProtection="1">
      <alignment horizontal="left" vertical="center" wrapText="1"/>
    </xf>
    <xf numFmtId="0" fontId="15" fillId="0" borderId="4" xfId="1" applyFont="1" applyFill="1" applyBorder="1" applyAlignment="1" applyProtection="1">
      <alignment horizontal="center" vertical="center" wrapText="1"/>
    </xf>
    <xf numFmtId="0" fontId="16" fillId="0" borderId="4" xfId="1" applyFont="1" applyFill="1" applyBorder="1" applyAlignment="1" applyProtection="1">
      <alignment horizontal="center" vertical="center" wrapText="1"/>
    </xf>
    <xf numFmtId="165" fontId="16" fillId="0" borderId="4" xfId="1" applyNumberFormat="1" applyFont="1" applyFill="1" applyBorder="1" applyAlignment="1" applyProtection="1">
      <alignment horizontal="center" vertical="center" wrapText="1"/>
    </xf>
    <xf numFmtId="0" fontId="15" fillId="3" borderId="4" xfId="1" applyFont="1" applyFill="1" applyBorder="1" applyAlignment="1" applyProtection="1">
      <alignment horizontal="center" vertical="center" wrapText="1"/>
    </xf>
    <xf numFmtId="0" fontId="7" fillId="0" borderId="5" xfId="1" applyFill="1" applyBorder="1" applyAlignment="1" applyProtection="1"/>
    <xf numFmtId="0" fontId="7" fillId="0" borderId="6" xfId="1" applyFill="1" applyBorder="1" applyAlignment="1" applyProtection="1"/>
    <xf numFmtId="0" fontId="7" fillId="0" borderId="7" xfId="1" applyFill="1" applyBorder="1" applyAlignment="1" applyProtection="1"/>
    <xf numFmtId="2" fontId="7" fillId="6" borderId="8" xfId="1" applyNumberFormat="1" applyFill="1" applyBorder="1" applyAlignment="1"/>
    <xf numFmtId="0" fontId="18" fillId="5" borderId="8" xfId="1" applyFont="1" applyFill="1" applyBorder="1" applyAlignment="1">
      <alignment horizontal="center"/>
    </xf>
    <xf numFmtId="0" fontId="7" fillId="0" borderId="0" xfId="1"/>
    <xf numFmtId="2" fontId="18" fillId="5" borderId="8" xfId="1" applyNumberFormat="1" applyFont="1" applyFill="1" applyBorder="1" applyAlignment="1">
      <alignment horizontal="center"/>
    </xf>
    <xf numFmtId="2" fontId="7" fillId="0" borderId="8" xfId="1" applyNumberFormat="1" applyFill="1" applyBorder="1" applyAlignment="1"/>
    <xf numFmtId="0" fontId="18" fillId="5" borderId="9" xfId="1" applyFont="1" applyFill="1" applyBorder="1" applyAlignment="1">
      <alignment horizontal="center"/>
    </xf>
    <xf numFmtId="0" fontId="7" fillId="0" borderId="8" xfId="1" applyBorder="1" applyAlignment="1"/>
    <xf numFmtId="0" fontId="28" fillId="0" borderId="0" xfId="1" applyFont="1" applyFill="1" applyProtection="1"/>
    <xf numFmtId="0" fontId="31" fillId="0" borderId="0" xfId="1" applyFont="1" applyFill="1" applyBorder="1" applyAlignment="1" applyProtection="1">
      <alignment vertical="center"/>
    </xf>
    <xf numFmtId="1" fontId="0" fillId="0" borderId="0" xfId="0" applyNumberFormat="1" applyFill="1" applyProtection="1"/>
    <xf numFmtId="0" fontId="35" fillId="0" borderId="0" xfId="0" applyFont="1" applyFill="1" applyProtection="1"/>
    <xf numFmtId="1" fontId="35" fillId="0" borderId="0" xfId="0" applyNumberFormat="1" applyFont="1" applyFill="1" applyProtection="1"/>
    <xf numFmtId="1" fontId="35" fillId="0" borderId="0" xfId="0" applyNumberFormat="1" applyFont="1" applyFill="1" applyBorder="1" applyProtection="1"/>
    <xf numFmtId="1" fontId="35" fillId="0" borderId="0" xfId="0" applyNumberFormat="1" applyFont="1" applyFill="1" applyBorder="1" applyAlignment="1" applyProtection="1"/>
    <xf numFmtId="0" fontId="36" fillId="0" borderId="0" xfId="0" applyFont="1" applyFill="1" applyProtection="1"/>
    <xf numFmtId="1" fontId="17" fillId="0" borderId="0" xfId="0" applyNumberFormat="1" applyFont="1" applyFill="1" applyProtection="1"/>
    <xf numFmtId="1" fontId="36" fillId="0" borderId="0" xfId="0" applyNumberFormat="1" applyFont="1" applyFill="1" applyProtection="1"/>
    <xf numFmtId="1" fontId="17" fillId="0" borderId="0" xfId="0" applyNumberFormat="1" applyFont="1" applyFill="1" applyBorder="1" applyProtection="1"/>
    <xf numFmtId="1" fontId="37" fillId="0" borderId="0" xfId="0" applyNumberFormat="1" applyFont="1" applyFill="1" applyBorder="1" applyProtection="1"/>
    <xf numFmtId="1" fontId="37" fillId="0" borderId="0" xfId="0" applyNumberFormat="1" applyFont="1" applyFill="1" applyBorder="1" applyAlignment="1" applyProtection="1"/>
    <xf numFmtId="0" fontId="35" fillId="0" borderId="0" xfId="0" applyFont="1" applyFill="1" applyBorder="1" applyProtection="1"/>
    <xf numFmtId="1" fontId="39" fillId="0" borderId="0" xfId="0" applyNumberFormat="1" applyFont="1" applyFill="1" applyBorder="1" applyProtection="1"/>
    <xf numFmtId="0" fontId="21" fillId="0" borderId="0" xfId="0" applyFont="1" applyFill="1" applyBorder="1" applyAlignment="1" applyProtection="1">
      <alignment horizontal="left" vertical="center"/>
    </xf>
    <xf numFmtId="1" fontId="35" fillId="0" borderId="0" xfId="0" applyNumberFormat="1" applyFont="1" applyFill="1" applyBorder="1" applyAlignment="1" applyProtection="1">
      <alignment horizontal="center"/>
    </xf>
    <xf numFmtId="1" fontId="35" fillId="0" borderId="0" xfId="0" applyNumberFormat="1" applyFont="1" applyFill="1" applyBorder="1" applyAlignment="1" applyProtection="1">
      <alignment horizontal="left" indent="1"/>
    </xf>
    <xf numFmtId="0" fontId="43" fillId="0" borderId="0" xfId="0" applyFont="1" applyFill="1" applyBorder="1" applyAlignment="1" applyProtection="1">
      <alignment horizontal="left" vertical="center"/>
    </xf>
    <xf numFmtId="2" fontId="50" fillId="0" borderId="56" xfId="0" applyNumberFormat="1" applyFont="1" applyFill="1" applyBorder="1" applyAlignment="1" applyProtection="1">
      <alignment horizontal="right" vertical="center"/>
    </xf>
    <xf numFmtId="1" fontId="50" fillId="0" borderId="94" xfId="0" applyNumberFormat="1" applyFont="1" applyFill="1" applyBorder="1" applyAlignment="1" applyProtection="1">
      <alignment horizontal="right" vertical="center"/>
    </xf>
    <xf numFmtId="1" fontId="50" fillId="0" borderId="0" xfId="0" applyNumberFormat="1" applyFont="1" applyFill="1" applyBorder="1" applyAlignment="1" applyProtection="1">
      <alignment horizontal="right" vertical="center"/>
    </xf>
    <xf numFmtId="1" fontId="35" fillId="0" borderId="62" xfId="0" applyNumberFormat="1" applyFont="1" applyFill="1" applyBorder="1" applyProtection="1"/>
    <xf numFmtId="0" fontId="43" fillId="0" borderId="103" xfId="0" applyFont="1" applyFill="1" applyBorder="1" applyAlignment="1" applyProtection="1">
      <alignment horizontal="left" vertical="center"/>
    </xf>
    <xf numFmtId="1" fontId="50" fillId="0" borderId="102" xfId="0" applyNumberFormat="1" applyFont="1" applyFill="1" applyBorder="1" applyAlignment="1" applyProtection="1">
      <alignment horizontal="right" vertical="center"/>
    </xf>
    <xf numFmtId="0" fontId="43" fillId="0" borderId="65" xfId="0" applyFont="1" applyFill="1" applyBorder="1" applyAlignment="1" applyProtection="1">
      <alignment horizontal="left" vertical="center"/>
    </xf>
    <xf numFmtId="1" fontId="50" fillId="0" borderId="68" xfId="0" applyNumberFormat="1" applyFont="1" applyFill="1" applyBorder="1" applyAlignment="1" applyProtection="1">
      <alignment horizontal="right" vertical="center"/>
    </xf>
    <xf numFmtId="0" fontId="43" fillId="0" borderId="68" xfId="0" applyFont="1" applyFill="1" applyBorder="1" applyAlignment="1" applyProtection="1">
      <alignment horizontal="left" vertical="center"/>
    </xf>
    <xf numFmtId="0" fontId="46" fillId="0" borderId="105" xfId="0" applyFont="1" applyFill="1" applyBorder="1" applyAlignment="1" applyProtection="1">
      <alignment vertical="center"/>
    </xf>
    <xf numFmtId="0" fontId="46" fillId="0" borderId="106" xfId="0" applyFont="1" applyFill="1" applyBorder="1" applyAlignment="1" applyProtection="1">
      <alignment vertical="center"/>
    </xf>
    <xf numFmtId="0" fontId="46" fillId="0" borderId="106" xfId="0" applyFont="1" applyFill="1" applyBorder="1" applyAlignment="1" applyProtection="1">
      <alignment horizontal="center" vertical="center"/>
    </xf>
    <xf numFmtId="0" fontId="43" fillId="0" borderId="90" xfId="0" applyFont="1" applyFill="1" applyBorder="1" applyAlignment="1" applyProtection="1">
      <alignment horizontal="left" vertical="center"/>
    </xf>
    <xf numFmtId="0" fontId="43" fillId="0" borderId="63" xfId="0" applyFont="1" applyFill="1" applyBorder="1" applyAlignment="1" applyProtection="1">
      <alignment horizontal="left" vertical="center"/>
    </xf>
    <xf numFmtId="1" fontId="50" fillId="0" borderId="56" xfId="0" applyNumberFormat="1" applyFont="1" applyFill="1" applyBorder="1" applyAlignment="1" applyProtection="1">
      <alignment horizontal="right" vertical="center"/>
    </xf>
    <xf numFmtId="0" fontId="45" fillId="0" borderId="104" xfId="0" applyFont="1" applyFill="1" applyBorder="1" applyAlignment="1" applyProtection="1">
      <alignment horizontal="left" vertical="center"/>
    </xf>
    <xf numFmtId="1" fontId="50" fillId="5" borderId="56" xfId="0" applyNumberFormat="1" applyFont="1" applyFill="1" applyBorder="1" applyAlignment="1" applyProtection="1">
      <alignment horizontal="center" vertical="center"/>
      <protection locked="0"/>
    </xf>
    <xf numFmtId="0" fontId="43" fillId="0" borderId="94" xfId="0" applyFont="1" applyFill="1" applyBorder="1" applyAlignment="1" applyProtection="1">
      <alignment horizontal="left" vertical="center"/>
    </xf>
    <xf numFmtId="0" fontId="43" fillId="0" borderId="105" xfId="0" applyFont="1" applyFill="1" applyBorder="1" applyAlignment="1" applyProtection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1" fontId="35" fillId="0" borderId="108" xfId="0" applyNumberFormat="1" applyFont="1" applyFill="1" applyBorder="1" applyProtection="1"/>
    <xf numFmtId="1" fontId="35" fillId="0" borderId="0" xfId="0" applyNumberFormat="1" applyFont="1" applyFill="1" applyBorder="1" applyAlignment="1" applyProtection="1">
      <alignment vertical="center"/>
    </xf>
    <xf numFmtId="1" fontId="37" fillId="0" borderId="0" xfId="0" applyNumberFormat="1" applyFont="1" applyFill="1" applyBorder="1" applyAlignment="1" applyProtection="1">
      <alignment vertical="center"/>
    </xf>
    <xf numFmtId="1" fontId="52" fillId="0" borderId="0" xfId="0" applyNumberFormat="1" applyFont="1" applyFill="1" applyAlignment="1" applyProtection="1"/>
    <xf numFmtId="1" fontId="53" fillId="0" borderId="0" xfId="0" applyNumberFormat="1" applyFont="1" applyFill="1" applyProtection="1">
      <protection hidden="1"/>
    </xf>
    <xf numFmtId="1" fontId="53" fillId="0" borderId="0" xfId="0" applyNumberFormat="1" applyFont="1" applyFill="1" applyAlignment="1" applyProtection="1">
      <alignment horizontal="left"/>
      <protection hidden="1"/>
    </xf>
    <xf numFmtId="1" fontId="53" fillId="0" borderId="0" xfId="0" applyNumberFormat="1" applyFont="1" applyFill="1" applyAlignment="1" applyProtection="1">
      <alignment horizontal="center"/>
      <protection hidden="1"/>
    </xf>
    <xf numFmtId="1" fontId="53" fillId="0" borderId="0" xfId="0" applyNumberFormat="1" applyFont="1" applyFill="1" applyAlignment="1" applyProtection="1">
      <alignment horizontal="left" indent="1"/>
      <protection hidden="1"/>
    </xf>
    <xf numFmtId="1" fontId="53" fillId="0" borderId="0" xfId="0" applyNumberFormat="1" applyFont="1" applyFill="1" applyAlignment="1" applyProtection="1">
      <alignment horizontal="right"/>
      <protection hidden="1"/>
    </xf>
    <xf numFmtId="1" fontId="53" fillId="0" borderId="0" xfId="0" applyNumberFormat="1" applyFont="1" applyFill="1" applyAlignment="1" applyProtection="1">
      <alignment horizontal="left" indent="2"/>
      <protection hidden="1"/>
    </xf>
    <xf numFmtId="1" fontId="53" fillId="0" borderId="0" xfId="0" applyNumberFormat="1" applyFont="1" applyFill="1" applyAlignment="1" applyProtection="1">
      <alignment horizontal="left" indent="4"/>
      <protection hidden="1"/>
    </xf>
    <xf numFmtId="0" fontId="39" fillId="0" borderId="0" xfId="0" applyFont="1" applyFill="1" applyProtection="1"/>
    <xf numFmtId="1" fontId="39" fillId="0" borderId="0" xfId="0" applyNumberFormat="1" applyFont="1" applyFill="1" applyProtection="1"/>
    <xf numFmtId="1" fontId="39" fillId="0" borderId="0" xfId="0" applyNumberFormat="1" applyFont="1" applyFill="1" applyAlignment="1" applyProtection="1">
      <alignment horizontal="left"/>
    </xf>
    <xf numFmtId="1" fontId="53" fillId="0" borderId="0" xfId="0" applyNumberFormat="1" applyFont="1" applyFill="1" applyAlignment="1" applyProtection="1">
      <alignment horizontal="center" vertical="center"/>
      <protection hidden="1"/>
    </xf>
    <xf numFmtId="1" fontId="39" fillId="0" borderId="0" xfId="0" applyNumberFormat="1" applyFont="1" applyFill="1" applyProtection="1">
      <protection hidden="1"/>
    </xf>
    <xf numFmtId="0" fontId="39" fillId="0" borderId="0" xfId="0" applyFont="1" applyFill="1" applyAlignment="1" applyProtection="1">
      <alignment horizontal="left" vertical="center"/>
    </xf>
    <xf numFmtId="1" fontId="39" fillId="0" borderId="0" xfId="0" applyNumberFormat="1" applyFont="1" applyFill="1" applyAlignment="1" applyProtection="1">
      <alignment vertical="center"/>
      <protection hidden="1"/>
    </xf>
    <xf numFmtId="1" fontId="40" fillId="0" borderId="0" xfId="0" applyNumberFormat="1" applyFont="1" applyFill="1" applyAlignment="1" applyProtection="1">
      <alignment horizontal="center" vertical="center"/>
    </xf>
    <xf numFmtId="1" fontId="52" fillId="0" borderId="0" xfId="0" applyNumberFormat="1" applyFont="1" applyFill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vertical="center"/>
    </xf>
    <xf numFmtId="0" fontId="0" fillId="7" borderId="0" xfId="0" applyFill="1" applyProtection="1"/>
    <xf numFmtId="0" fontId="22" fillId="7" borderId="0" xfId="0" applyFont="1" applyFill="1" applyProtection="1"/>
    <xf numFmtId="0" fontId="24" fillId="0" borderId="0" xfId="0" applyFont="1" applyFill="1" applyAlignment="1" applyProtection="1">
      <alignment horizontal="center" vertical="center"/>
    </xf>
    <xf numFmtId="0" fontId="0" fillId="7" borderId="0" xfId="0" applyFill="1" applyBorder="1" applyProtection="1"/>
    <xf numFmtId="0" fontId="22" fillId="7" borderId="0" xfId="0" applyFont="1" applyFill="1" applyBorder="1" applyProtection="1"/>
    <xf numFmtId="0" fontId="3" fillId="7" borderId="0" xfId="0" applyFont="1" applyFill="1" applyBorder="1" applyAlignment="1" applyProtection="1">
      <alignment vertical="center" wrapText="1"/>
    </xf>
    <xf numFmtId="0" fontId="21" fillId="7" borderId="0" xfId="0" applyFont="1" applyFill="1" applyBorder="1" applyAlignment="1" applyProtection="1">
      <alignment vertical="center"/>
    </xf>
    <xf numFmtId="0" fontId="59" fillId="0" borderId="0" xfId="0" applyFont="1" applyFill="1" applyAlignment="1" applyProtection="1">
      <alignment vertical="center" wrapText="1"/>
    </xf>
    <xf numFmtId="0" fontId="59" fillId="0" borderId="0" xfId="0" applyFont="1" applyFill="1" applyAlignment="1" applyProtection="1">
      <alignment horizontal="left" vertical="center" wrapText="1" indent="8"/>
    </xf>
    <xf numFmtId="0" fontId="59" fillId="0" borderId="0" xfId="0" applyFont="1" applyFill="1" applyAlignment="1" applyProtection="1">
      <alignment horizontal="left" vertical="center" wrapText="1" indent="10"/>
    </xf>
    <xf numFmtId="0" fontId="21" fillId="7" borderId="0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60" fillId="0" borderId="0" xfId="0" applyFont="1" applyFill="1" applyBorder="1" applyAlignment="1" applyProtection="1">
      <alignment horizontal="left" vertical="center"/>
    </xf>
    <xf numFmtId="0" fontId="43" fillId="0" borderId="65" xfId="0" applyFont="1" applyFill="1" applyBorder="1" applyAlignment="1" applyProtection="1">
      <alignment horizontal="left" vertical="center"/>
    </xf>
    <xf numFmtId="0" fontId="43" fillId="0" borderId="105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horizontal="left" vertical="center"/>
    </xf>
    <xf numFmtId="0" fontId="45" fillId="0" borderId="102" xfId="0" applyFont="1" applyFill="1" applyBorder="1" applyAlignment="1" applyProtection="1">
      <alignment horizontal="left" vertical="center"/>
    </xf>
    <xf numFmtId="0" fontId="24" fillId="7" borderId="0" xfId="0" applyFont="1" applyFill="1" applyAlignment="1" applyProtection="1">
      <alignment horizontal="center" vertical="center" wrapText="1"/>
    </xf>
    <xf numFmtId="0" fontId="0" fillId="0" borderId="0" xfId="0" applyFill="1" applyProtection="1"/>
    <xf numFmtId="0" fontId="61" fillId="0" borderId="0" xfId="0" applyFont="1" applyFill="1" applyProtection="1"/>
    <xf numFmtId="0" fontId="61" fillId="0" borderId="0" xfId="0" applyFont="1" applyFill="1" applyAlignment="1" applyProtection="1"/>
    <xf numFmtId="0" fontId="61" fillId="0" borderId="0" xfId="0" applyFont="1" applyFill="1" applyAlignment="1" applyProtection="1">
      <alignment vertical="top"/>
    </xf>
    <xf numFmtId="0" fontId="43" fillId="0" borderId="105" xfId="0" applyFont="1" applyFill="1" applyBorder="1" applyAlignment="1" applyProtection="1">
      <alignment horizontal="left" vertical="center"/>
    </xf>
    <xf numFmtId="0" fontId="0" fillId="0" borderId="0" xfId="0" applyFill="1" applyProtection="1"/>
    <xf numFmtId="169" fontId="73" fillId="0" borderId="0" xfId="0" applyNumberFormat="1" applyFont="1" applyFill="1" applyProtection="1"/>
    <xf numFmtId="0" fontId="0" fillId="0" borderId="0" xfId="0" applyFill="1" applyAlignment="1" applyProtection="1"/>
    <xf numFmtId="1" fontId="74" fillId="0" borderId="0" xfId="0" applyNumberFormat="1" applyFont="1" applyFill="1" applyAlignment="1" applyProtection="1">
      <alignment horizontal="left" vertical="top" indent="1"/>
    </xf>
    <xf numFmtId="0" fontId="61" fillId="7" borderId="0" xfId="0" applyFont="1" applyFill="1" applyProtection="1"/>
    <xf numFmtId="0" fontId="18" fillId="7" borderId="0" xfId="0" applyFont="1" applyFill="1" applyBorder="1" applyProtection="1"/>
    <xf numFmtId="0" fontId="43" fillId="7" borderId="0" xfId="0" applyFont="1" applyFill="1" applyBorder="1" applyAlignment="1" applyProtection="1">
      <alignment horizontal="left" vertical="center"/>
    </xf>
    <xf numFmtId="0" fontId="76" fillId="7" borderId="0" xfId="0" applyFont="1" applyFill="1" applyAlignment="1" applyProtection="1"/>
    <xf numFmtId="0" fontId="45" fillId="0" borderId="68" xfId="0" applyFont="1" applyFill="1" applyBorder="1" applyAlignment="1" applyProtection="1">
      <alignment vertical="center"/>
    </xf>
    <xf numFmtId="0" fontId="48" fillId="0" borderId="0" xfId="0" applyFont="1" applyFill="1" applyProtection="1"/>
    <xf numFmtId="1" fontId="50" fillId="0" borderId="0" xfId="0" applyNumberFormat="1" applyFont="1" applyFill="1" applyBorder="1" applyAlignment="1" applyProtection="1">
      <alignment horizontal="center" vertical="center"/>
    </xf>
    <xf numFmtId="1" fontId="34" fillId="0" borderId="0" xfId="0" applyNumberFormat="1" applyFont="1" applyFill="1" applyBorder="1" applyAlignment="1" applyProtection="1">
      <alignment vertical="center"/>
    </xf>
    <xf numFmtId="1" fontId="60" fillId="0" borderId="0" xfId="0" applyNumberFormat="1" applyFont="1" applyFill="1" applyBorder="1" applyAlignment="1" applyProtection="1">
      <alignment horizontal="right" vertical="center"/>
    </xf>
    <xf numFmtId="1" fontId="48" fillId="0" borderId="0" xfId="0" applyNumberFormat="1" applyFont="1" applyFill="1" applyBorder="1" applyAlignment="1" applyProtection="1">
      <alignment horizontal="left" vertical="center"/>
    </xf>
    <xf numFmtId="1" fontId="79" fillId="0" borderId="0" xfId="0" applyNumberFormat="1" applyFont="1" applyFill="1" applyBorder="1" applyAlignment="1" applyProtection="1">
      <alignment vertical="center"/>
    </xf>
    <xf numFmtId="0" fontId="43" fillId="0" borderId="86" xfId="0" applyFont="1" applyFill="1" applyBorder="1" applyAlignment="1" applyProtection="1">
      <alignment horizontal="left" vertical="center"/>
    </xf>
    <xf numFmtId="1" fontId="50" fillId="5" borderId="107" xfId="0" applyNumberFormat="1" applyFont="1" applyFill="1" applyBorder="1" applyAlignment="1" applyProtection="1">
      <alignment horizontal="center" vertical="center"/>
      <protection locked="0"/>
    </xf>
    <xf numFmtId="1" fontId="50" fillId="5" borderId="120" xfId="0" applyNumberFormat="1" applyFont="1" applyFill="1" applyBorder="1" applyAlignment="1" applyProtection="1">
      <alignment horizontal="center" vertical="center"/>
      <protection locked="0"/>
    </xf>
    <xf numFmtId="1" fontId="50" fillId="5" borderId="93" xfId="0" applyNumberFormat="1" applyFont="1" applyFill="1" applyBorder="1" applyAlignment="1" applyProtection="1">
      <alignment horizontal="center" vertical="center"/>
      <protection locked="0"/>
    </xf>
    <xf numFmtId="1" fontId="50" fillId="0" borderId="93" xfId="0" applyNumberFormat="1" applyFont="1" applyFill="1" applyBorder="1" applyAlignment="1" applyProtection="1">
      <alignment horizontal="right" vertical="center"/>
    </xf>
    <xf numFmtId="0" fontId="22" fillId="0" borderId="43" xfId="0" applyFont="1" applyFill="1" applyBorder="1" applyProtection="1"/>
    <xf numFmtId="1" fontId="50" fillId="0" borderId="43" xfId="0" applyNumberFormat="1" applyFont="1" applyFill="1" applyBorder="1" applyAlignment="1" applyProtection="1">
      <alignment horizontal="center" vertical="center"/>
      <protection locked="0"/>
    </xf>
    <xf numFmtId="2" fontId="50" fillId="0" borderId="119" xfId="0" applyNumberFormat="1" applyFont="1" applyFill="1" applyBorder="1" applyAlignment="1" applyProtection="1">
      <alignment horizontal="right" vertical="center"/>
    </xf>
    <xf numFmtId="0" fontId="43" fillId="0" borderId="95" xfId="0" applyFont="1" applyFill="1" applyBorder="1" applyAlignment="1" applyProtection="1">
      <alignment horizontal="left" vertical="center"/>
    </xf>
    <xf numFmtId="1" fontId="47" fillId="0" borderId="43" xfId="0" applyNumberFormat="1" applyFont="1" applyFill="1" applyBorder="1" applyAlignment="1" applyProtection="1">
      <alignment vertical="center"/>
    </xf>
    <xf numFmtId="0" fontId="48" fillId="0" borderId="94" xfId="0" applyFont="1" applyFill="1" applyBorder="1" applyAlignment="1" applyProtection="1">
      <alignment horizontal="center" vertical="center"/>
      <protection hidden="1"/>
    </xf>
    <xf numFmtId="0" fontId="48" fillId="0" borderId="102" xfId="0" applyFont="1" applyFill="1" applyBorder="1" applyAlignment="1" applyProtection="1">
      <alignment horizontal="center" vertical="center"/>
      <protection hidden="1"/>
    </xf>
    <xf numFmtId="1" fontId="47" fillId="0" borderId="121" xfId="0" applyNumberFormat="1" applyFont="1" applyFill="1" applyBorder="1" applyAlignment="1" applyProtection="1">
      <alignment vertical="center"/>
    </xf>
    <xf numFmtId="0" fontId="43" fillId="0" borderId="43" xfId="0" applyFont="1" applyFill="1" applyBorder="1" applyAlignment="1" applyProtection="1">
      <alignment horizontal="left" vertical="center"/>
    </xf>
    <xf numFmtId="0" fontId="43" fillId="0" borderId="43" xfId="0" applyFont="1" applyFill="1" applyBorder="1" applyAlignment="1" applyProtection="1">
      <alignment horizontal="right" vertical="center"/>
    </xf>
    <xf numFmtId="0" fontId="45" fillId="0" borderId="43" xfId="0" applyFont="1" applyFill="1" applyBorder="1" applyAlignment="1" applyProtection="1">
      <alignment horizontal="center" vertical="center"/>
    </xf>
    <xf numFmtId="0" fontId="45" fillId="0" borderId="43" xfId="0" applyFont="1" applyFill="1" applyBorder="1" applyAlignment="1" applyProtection="1">
      <alignment horizontal="right" vertical="center"/>
    </xf>
    <xf numFmtId="0" fontId="43" fillId="0" borderId="43" xfId="0" applyFont="1" applyFill="1" applyBorder="1" applyAlignment="1" applyProtection="1">
      <alignment horizontal="center" vertical="center"/>
    </xf>
    <xf numFmtId="1" fontId="40" fillId="0" borderId="0" xfId="0" applyNumberFormat="1" applyFont="1" applyFill="1" applyAlignment="1" applyProtection="1">
      <alignment vertical="center"/>
    </xf>
    <xf numFmtId="0" fontId="45" fillId="0" borderId="0" xfId="0" applyFont="1" applyFill="1" applyBorder="1" applyAlignment="1" applyProtection="1">
      <alignment vertical="center"/>
    </xf>
    <xf numFmtId="1" fontId="81" fillId="0" borderId="0" xfId="0" applyNumberFormat="1" applyFont="1" applyFill="1" applyBorder="1" applyAlignment="1" applyProtection="1"/>
    <xf numFmtId="1" fontId="81" fillId="0" borderId="86" xfId="0" applyNumberFormat="1" applyFont="1" applyFill="1" applyBorder="1" applyAlignment="1" applyProtection="1"/>
    <xf numFmtId="1" fontId="42" fillId="0" borderId="0" xfId="0" applyNumberFormat="1" applyFont="1" applyFill="1" applyBorder="1" applyAlignment="1" applyProtection="1">
      <alignment vertical="center"/>
    </xf>
    <xf numFmtId="1" fontId="50" fillId="0" borderId="86" xfId="0" applyNumberFormat="1" applyFont="1" applyFill="1" applyBorder="1" applyAlignment="1" applyProtection="1">
      <alignment horizontal="right" vertical="center"/>
    </xf>
    <xf numFmtId="0" fontId="45" fillId="0" borderId="86" xfId="0" applyFont="1" applyFill="1" applyBorder="1" applyAlignment="1" applyProtection="1">
      <alignment horizontal="left" vertical="center"/>
    </xf>
    <xf numFmtId="1" fontId="82" fillId="0" borderId="0" xfId="0" applyNumberFormat="1" applyFont="1" applyFill="1" applyAlignment="1" applyProtection="1">
      <alignment vertical="center"/>
    </xf>
    <xf numFmtId="1" fontId="61" fillId="0" borderId="0" xfId="0" applyNumberFormat="1" applyFont="1" applyFill="1" applyProtection="1"/>
    <xf numFmtId="1" fontId="61" fillId="0" borderId="0" xfId="0" applyNumberFormat="1" applyFont="1" applyFill="1" applyAlignment="1" applyProtection="1">
      <alignment vertical="center"/>
    </xf>
    <xf numFmtId="0" fontId="43" fillId="0" borderId="105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0" fillId="0" borderId="56" xfId="0" applyFill="1" applyBorder="1" applyProtection="1"/>
    <xf numFmtId="0" fontId="0" fillId="0" borderId="95" xfId="0" applyFill="1" applyBorder="1" applyProtection="1"/>
    <xf numFmtId="0" fontId="0" fillId="0" borderId="94" xfId="0" applyFill="1" applyBorder="1" applyProtection="1"/>
    <xf numFmtId="165" fontId="50" fillId="0" borderId="56" xfId="0" applyNumberFormat="1" applyFont="1" applyFill="1" applyBorder="1" applyAlignment="1" applyProtection="1">
      <alignment horizontal="right" vertical="center"/>
    </xf>
    <xf numFmtId="0" fontId="85" fillId="0" borderId="104" xfId="0" applyFont="1" applyFill="1" applyBorder="1" applyAlignment="1" applyProtection="1">
      <alignment horizontal="left" vertical="center"/>
    </xf>
    <xf numFmtId="0" fontId="87" fillId="0" borderId="0" xfId="4" applyFont="1" applyAlignment="1" applyProtection="1">
      <alignment horizontal="center" vertical="center"/>
      <protection locked="0" hidden="1"/>
    </xf>
    <xf numFmtId="0" fontId="87" fillId="0" borderId="0" xfId="4" applyFont="1" applyAlignment="1" applyProtection="1">
      <alignment horizontal="center" vertical="center"/>
    </xf>
    <xf numFmtId="0" fontId="87" fillId="0" borderId="122" xfId="4" applyFont="1" applyBorder="1" applyAlignment="1" applyProtection="1">
      <alignment horizontal="center" vertical="center"/>
    </xf>
    <xf numFmtId="0" fontId="87" fillId="0" borderId="122" xfId="4" applyFont="1" applyBorder="1" applyAlignment="1">
      <alignment horizontal="center" vertical="center"/>
    </xf>
    <xf numFmtId="0" fontId="88" fillId="0" borderId="122" xfId="4" applyFont="1" applyBorder="1" applyAlignment="1">
      <alignment horizontal="center" vertical="center"/>
    </xf>
    <xf numFmtId="0" fontId="87" fillId="0" borderId="0" xfId="4" applyFont="1" applyAlignment="1">
      <alignment horizontal="center" vertical="center"/>
    </xf>
    <xf numFmtId="0" fontId="87" fillId="0" borderId="123" xfId="4" applyFont="1" applyBorder="1" applyAlignment="1" applyProtection="1">
      <alignment horizontal="center" vertical="center"/>
    </xf>
    <xf numFmtId="0" fontId="87" fillId="0" borderId="124" xfId="4" applyFont="1" applyBorder="1" applyAlignment="1">
      <alignment horizontal="center" vertical="center"/>
    </xf>
    <xf numFmtId="0" fontId="88" fillId="0" borderId="0" xfId="4" applyFont="1" applyBorder="1" applyAlignment="1">
      <alignment horizontal="center" vertical="center"/>
    </xf>
    <xf numFmtId="0" fontId="87" fillId="0" borderId="125" xfId="4" applyFont="1" applyBorder="1" applyAlignment="1">
      <alignment horizontal="center" vertical="center"/>
    </xf>
    <xf numFmtId="0" fontId="87" fillId="0" borderId="8" xfId="4" applyFont="1" applyBorder="1" applyAlignment="1" applyProtection="1">
      <alignment horizontal="center" vertical="center"/>
      <protection locked="0"/>
    </xf>
    <xf numFmtId="0" fontId="87" fillId="0" borderId="5" xfId="4" applyFont="1" applyBorder="1" applyAlignment="1" applyProtection="1">
      <alignment horizontal="center" vertical="center"/>
      <protection locked="0"/>
    </xf>
    <xf numFmtId="0" fontId="87" fillId="0" borderId="0" xfId="4" applyFont="1" applyBorder="1" applyAlignment="1" applyProtection="1">
      <alignment horizontal="center" vertical="center"/>
    </xf>
    <xf numFmtId="0" fontId="88" fillId="11" borderId="0" xfId="4" applyFont="1" applyFill="1" applyBorder="1" applyAlignment="1" applyProtection="1">
      <alignment vertical="center"/>
    </xf>
    <xf numFmtId="0" fontId="95" fillId="0" borderId="0" xfId="4" applyFont="1" applyFill="1" applyBorder="1" applyAlignment="1" applyProtection="1">
      <alignment vertical="center"/>
    </xf>
    <xf numFmtId="0" fontId="97" fillId="0" borderId="0" xfId="5" applyFont="1" applyFill="1" applyBorder="1" applyAlignment="1" applyProtection="1">
      <alignment vertical="center" wrapText="1"/>
    </xf>
    <xf numFmtId="0" fontId="98" fillId="0" borderId="0" xfId="4" applyFont="1" applyFill="1" applyBorder="1" applyAlignment="1" applyProtection="1">
      <alignment vertical="center" textRotation="90" wrapText="1"/>
    </xf>
    <xf numFmtId="0" fontId="87" fillId="0" borderId="0" xfId="4" applyFont="1" applyBorder="1" applyAlignment="1" applyProtection="1">
      <alignment horizontal="center" vertical="center"/>
      <protection hidden="1"/>
    </xf>
    <xf numFmtId="0" fontId="99" fillId="0" borderId="0" xfId="4" applyFont="1" applyFill="1" applyBorder="1" applyAlignment="1" applyProtection="1">
      <alignment vertical="center"/>
    </xf>
    <xf numFmtId="0" fontId="87" fillId="12" borderId="0" xfId="4" applyFont="1" applyFill="1" applyBorder="1" applyAlignment="1" applyProtection="1">
      <alignment horizontal="center" vertical="center"/>
    </xf>
    <xf numFmtId="0" fontId="88" fillId="12" borderId="0" xfId="4" applyFont="1" applyFill="1" applyBorder="1" applyAlignment="1" applyProtection="1">
      <alignment horizontal="center" vertical="center"/>
    </xf>
    <xf numFmtId="0" fontId="87" fillId="0" borderId="0" xfId="4" applyFont="1" applyFill="1" applyBorder="1" applyAlignment="1" applyProtection="1">
      <alignment horizontal="center" vertical="center"/>
    </xf>
    <xf numFmtId="0" fontId="103" fillId="0" borderId="0" xfId="4" applyFont="1" applyFill="1" applyBorder="1" applyAlignment="1" applyProtection="1">
      <alignment vertical="center"/>
    </xf>
    <xf numFmtId="0" fontId="88" fillId="0" borderId="0" xfId="4" applyFont="1" applyFill="1" applyBorder="1" applyAlignment="1" applyProtection="1">
      <alignment vertical="center"/>
    </xf>
    <xf numFmtId="0" fontId="87" fillId="11" borderId="0" xfId="4" applyFont="1" applyFill="1" applyAlignment="1" applyProtection="1">
      <alignment horizontal="center" vertical="center"/>
    </xf>
    <xf numFmtId="0" fontId="88" fillId="11" borderId="0" xfId="4" applyFont="1" applyFill="1" applyBorder="1" applyAlignment="1" applyProtection="1">
      <alignment horizontal="center" vertical="center"/>
    </xf>
    <xf numFmtId="0" fontId="87" fillId="0" borderId="123" xfId="4" applyFont="1" applyFill="1" applyBorder="1" applyAlignment="1" applyProtection="1">
      <alignment horizontal="center" vertical="center"/>
    </xf>
    <xf numFmtId="0" fontId="104" fillId="0" borderId="122" xfId="4" applyFont="1" applyFill="1" applyBorder="1" applyAlignment="1" applyProtection="1">
      <alignment horizontal="center" vertical="top" wrapText="1"/>
    </xf>
    <xf numFmtId="0" fontId="104" fillId="0" borderId="0" xfId="4" applyFont="1" applyFill="1" applyAlignment="1" applyProtection="1">
      <alignment horizontal="center" vertical="top" wrapText="1"/>
    </xf>
    <xf numFmtId="0" fontId="87" fillId="0" borderId="0" xfId="4" applyFont="1" applyFill="1" applyAlignment="1" applyProtection="1">
      <alignment horizontal="center" vertical="center"/>
    </xf>
    <xf numFmtId="0" fontId="87" fillId="0" borderId="122" xfId="4" applyFont="1" applyFill="1" applyBorder="1" applyAlignment="1" applyProtection="1">
      <alignment horizontal="center" vertical="center"/>
    </xf>
    <xf numFmtId="0" fontId="88" fillId="0" borderId="122" xfId="4" applyFont="1" applyFill="1" applyBorder="1" applyAlignment="1" applyProtection="1">
      <alignment horizontal="center" vertical="center"/>
    </xf>
    <xf numFmtId="0" fontId="87" fillId="0" borderId="126" xfId="4" applyFont="1" applyFill="1" applyBorder="1" applyAlignment="1" applyProtection="1">
      <alignment horizontal="center" vertical="center"/>
    </xf>
    <xf numFmtId="0" fontId="87" fillId="0" borderId="124" xfId="4" applyFont="1" applyBorder="1" applyAlignment="1" applyProtection="1">
      <alignment horizontal="center" vertical="center"/>
    </xf>
    <xf numFmtId="0" fontId="87" fillId="0" borderId="0" xfId="4" applyFont="1" applyFill="1" applyBorder="1" applyAlignment="1" applyProtection="1">
      <alignment vertical="center"/>
    </xf>
    <xf numFmtId="0" fontId="87" fillId="0" borderId="127" xfId="4" applyFont="1" applyBorder="1" applyAlignment="1" applyProtection="1">
      <alignment horizontal="center" vertical="center"/>
    </xf>
    <xf numFmtId="0" fontId="87" fillId="0" borderId="128" xfId="4" applyFont="1" applyBorder="1" applyAlignment="1" applyProtection="1">
      <alignment horizontal="center" vertical="center"/>
    </xf>
    <xf numFmtId="0" fontId="105" fillId="0" borderId="129" xfId="4" applyFont="1" applyFill="1" applyBorder="1" applyAlignment="1" applyProtection="1">
      <alignment vertical="center" wrapText="1"/>
    </xf>
    <xf numFmtId="0" fontId="105" fillId="0" borderId="130" xfId="4" applyFont="1" applyFill="1" applyBorder="1" applyAlignment="1" applyProtection="1">
      <alignment vertical="center" wrapText="1"/>
    </xf>
    <xf numFmtId="0" fontId="87" fillId="0" borderId="131" xfId="4" applyFont="1" applyFill="1" applyBorder="1" applyAlignment="1" applyProtection="1">
      <alignment horizontal="center" vertical="center"/>
    </xf>
    <xf numFmtId="0" fontId="98" fillId="0" borderId="0" xfId="4" applyFont="1" applyFill="1" applyAlignment="1" applyProtection="1">
      <alignment horizontal="center" vertical="center"/>
    </xf>
    <xf numFmtId="0" fontId="87" fillId="0" borderId="132" xfId="4" applyFont="1" applyBorder="1" applyAlignment="1" applyProtection="1">
      <alignment horizontal="center" vertical="center"/>
    </xf>
    <xf numFmtId="0" fontId="87" fillId="0" borderId="133" xfId="4" applyFont="1" applyBorder="1" applyAlignment="1" applyProtection="1">
      <alignment horizontal="center" vertical="center"/>
    </xf>
    <xf numFmtId="0" fontId="87" fillId="0" borderId="127" xfId="4" applyFont="1" applyFill="1" applyBorder="1" applyAlignment="1" applyProtection="1">
      <alignment horizontal="center" vertical="center"/>
    </xf>
    <xf numFmtId="0" fontId="106" fillId="0" borderId="0" xfId="4" applyFont="1" applyFill="1" applyBorder="1" applyAlignment="1" applyProtection="1">
      <alignment vertical="center"/>
    </xf>
    <xf numFmtId="0" fontId="87" fillId="0" borderId="0" xfId="4" applyFont="1" applyAlignment="1" applyProtection="1">
      <alignment horizontal="center" vertical="center"/>
      <protection hidden="1"/>
    </xf>
    <xf numFmtId="1" fontId="108" fillId="0" borderId="0" xfId="4" applyNumberFormat="1" applyFont="1" applyFill="1" applyBorder="1" applyAlignment="1" applyProtection="1">
      <alignment horizontal="center" vertical="center"/>
    </xf>
    <xf numFmtId="0" fontId="87" fillId="0" borderId="139" xfId="4" applyFont="1" applyBorder="1" applyAlignment="1" applyProtection="1">
      <alignment horizontal="center" vertical="center"/>
    </xf>
    <xf numFmtId="0" fontId="87" fillId="0" borderId="140" xfId="4" applyFont="1" applyBorder="1" applyAlignment="1" applyProtection="1">
      <alignment horizontal="center" vertical="center"/>
    </xf>
    <xf numFmtId="0" fontId="87" fillId="0" borderId="141" xfId="4" applyFont="1" applyBorder="1" applyAlignment="1" applyProtection="1">
      <alignment horizontal="center" vertical="center"/>
    </xf>
    <xf numFmtId="0" fontId="88" fillId="0" borderId="0" xfId="4" applyFont="1" applyAlignment="1" applyProtection="1">
      <alignment horizontal="center" vertical="center"/>
    </xf>
    <xf numFmtId="0" fontId="87" fillId="0" borderId="0" xfId="4" applyFont="1" applyFill="1" applyBorder="1" applyAlignment="1" applyProtection="1">
      <alignment horizontal="center" vertical="center" textRotation="90"/>
    </xf>
    <xf numFmtId="0" fontId="110" fillId="0" borderId="0" xfId="4" applyFont="1" applyFill="1" applyBorder="1" applyAlignment="1" applyProtection="1">
      <alignment horizontal="center" vertical="center" textRotation="90"/>
    </xf>
    <xf numFmtId="0" fontId="88" fillId="0" borderId="0" xfId="4" applyFont="1" applyBorder="1" applyAlignment="1" applyProtection="1">
      <alignment horizontal="center" vertical="center"/>
    </xf>
    <xf numFmtId="0" fontId="108" fillId="13" borderId="141" xfId="4" applyFont="1" applyFill="1" applyBorder="1" applyAlignment="1" applyProtection="1">
      <alignment vertical="center" textRotation="90" wrapText="1"/>
    </xf>
    <xf numFmtId="0" fontId="108" fillId="13" borderId="0" xfId="4" applyFont="1" applyFill="1" applyBorder="1" applyAlignment="1" applyProtection="1">
      <alignment vertical="center" textRotation="90" wrapText="1"/>
    </xf>
    <xf numFmtId="0" fontId="108" fillId="13" borderId="133" xfId="4" applyFont="1" applyFill="1" applyBorder="1" applyAlignment="1" applyProtection="1">
      <alignment vertical="center" textRotation="90" wrapText="1"/>
    </xf>
    <xf numFmtId="0" fontId="108" fillId="13" borderId="130" xfId="4" applyFont="1" applyFill="1" applyBorder="1" applyAlignment="1" applyProtection="1">
      <alignment vertical="center" textRotation="90" wrapText="1"/>
    </xf>
    <xf numFmtId="0" fontId="108" fillId="13" borderId="138" xfId="4" applyFont="1" applyFill="1" applyBorder="1" applyAlignment="1" applyProtection="1">
      <alignment vertical="center" textRotation="90" wrapText="1"/>
    </xf>
    <xf numFmtId="0" fontId="87" fillId="0" borderId="0" xfId="4" applyFont="1" applyAlignment="1" applyProtection="1">
      <alignment horizontal="center" vertical="center"/>
      <protection locked="0"/>
    </xf>
    <xf numFmtId="0" fontId="113" fillId="0" borderId="0" xfId="4" applyFont="1" applyFill="1" applyBorder="1" applyAlignment="1" applyProtection="1">
      <alignment horizontal="center" vertical="center"/>
    </xf>
    <xf numFmtId="0" fontId="114" fillId="0" borderId="0" xfId="4" applyFont="1" applyFill="1" applyBorder="1" applyAlignment="1" applyProtection="1">
      <alignment horizontal="center" vertical="center"/>
    </xf>
    <xf numFmtId="0" fontId="112" fillId="0" borderId="0" xfId="4" applyFont="1" applyFill="1" applyBorder="1" applyAlignment="1" applyProtection="1">
      <alignment horizontal="center" vertical="center"/>
    </xf>
    <xf numFmtId="0" fontId="115" fillId="0" borderId="0" xfId="4" applyFont="1" applyFill="1" applyBorder="1" applyAlignment="1" applyProtection="1">
      <alignment vertical="center" textRotation="90" wrapText="1"/>
    </xf>
    <xf numFmtId="0" fontId="116" fillId="0" borderId="0" xfId="4" applyFont="1" applyFill="1" applyBorder="1" applyAlignment="1" applyProtection="1">
      <alignment horizontal="center" vertical="center"/>
    </xf>
    <xf numFmtId="0" fontId="117" fillId="0" borderId="0" xfId="4" applyFont="1" applyFill="1" applyBorder="1" applyAlignment="1" applyProtection="1">
      <alignment horizontal="center" vertical="center"/>
    </xf>
    <xf numFmtId="0" fontId="114" fillId="0" borderId="0" xfId="4" applyFont="1" applyFill="1" applyBorder="1" applyAlignment="1" applyProtection="1">
      <alignment horizontal="center" vertical="center" textRotation="90" wrapText="1"/>
    </xf>
    <xf numFmtId="0" fontId="113" fillId="0" borderId="0" xfId="4" applyFont="1" applyFill="1" applyBorder="1" applyAlignment="1" applyProtection="1">
      <alignment horizontal="left" vertical="center" wrapText="1"/>
    </xf>
    <xf numFmtId="0" fontId="113" fillId="0" borderId="0" xfId="4" applyFont="1" applyFill="1" applyBorder="1" applyAlignment="1" applyProtection="1">
      <alignment horizontal="left" vertical="center"/>
    </xf>
    <xf numFmtId="0" fontId="116" fillId="0" borderId="0" xfId="4" applyFont="1" applyFill="1" applyBorder="1" applyAlignment="1" applyProtection="1">
      <alignment horizontal="center" vertical="center" textRotation="90" wrapText="1"/>
    </xf>
    <xf numFmtId="0" fontId="88" fillId="0" borderId="0" xfId="4" applyFont="1" applyAlignment="1">
      <alignment horizontal="center" vertical="center"/>
    </xf>
    <xf numFmtId="0" fontId="102" fillId="0" borderId="8" xfId="4" applyFont="1" applyBorder="1" applyAlignment="1">
      <alignment horizontal="right" vertical="center" wrapText="1"/>
    </xf>
    <xf numFmtId="0" fontId="102" fillId="0" borderId="8" xfId="4" applyFont="1" applyBorder="1" applyAlignment="1">
      <alignment horizontal="left" vertical="center" wrapText="1"/>
    </xf>
    <xf numFmtId="0" fontId="102" fillId="15" borderId="8" xfId="4" applyFont="1" applyFill="1" applyBorder="1" applyAlignment="1">
      <alignment horizontal="right" vertical="center" wrapText="1"/>
    </xf>
    <xf numFmtId="0" fontId="102" fillId="0" borderId="0" xfId="4" applyFont="1" applyAlignment="1">
      <alignment horizontal="right" vertical="center" wrapText="1"/>
    </xf>
    <xf numFmtId="0" fontId="102" fillId="15" borderId="8" xfId="4" applyFont="1" applyFill="1" applyBorder="1" applyAlignment="1">
      <alignment horizontal="left" vertical="center" wrapText="1"/>
    </xf>
    <xf numFmtId="0" fontId="102" fillId="5" borderId="8" xfId="4" applyFont="1" applyFill="1" applyBorder="1" applyAlignment="1">
      <alignment horizontal="left" vertical="center" wrapText="1"/>
    </xf>
    <xf numFmtId="0" fontId="121" fillId="5" borderId="8" xfId="4" applyFont="1" applyFill="1" applyBorder="1" applyAlignment="1">
      <alignment horizontal="left" vertical="center" wrapText="1"/>
    </xf>
    <xf numFmtId="0" fontId="121" fillId="5" borderId="8" xfId="4" applyFont="1" applyFill="1" applyBorder="1" applyAlignment="1">
      <alignment horizontal="right" vertical="center" wrapText="1"/>
    </xf>
    <xf numFmtId="0" fontId="102" fillId="15" borderId="8" xfId="4" applyFont="1" applyFill="1" applyBorder="1" applyAlignment="1">
      <alignment vertical="center" wrapText="1"/>
    </xf>
    <xf numFmtId="0" fontId="121" fillId="15" borderId="8" xfId="4" applyFont="1" applyFill="1" applyBorder="1" applyAlignment="1">
      <alignment horizontal="left" vertical="center" wrapText="1"/>
    </xf>
    <xf numFmtId="0" fontId="121" fillId="15" borderId="8" xfId="4" applyFont="1" applyFill="1" applyBorder="1" applyAlignment="1">
      <alignment horizontal="right" vertical="center" wrapText="1"/>
    </xf>
    <xf numFmtId="0" fontId="121" fillId="0" borderId="8" xfId="4" applyFont="1" applyBorder="1" applyAlignment="1">
      <alignment horizontal="left" vertical="center" wrapText="1"/>
    </xf>
    <xf numFmtId="171" fontId="121" fillId="0" borderId="8" xfId="4" applyNumberFormat="1" applyFont="1" applyBorder="1" applyAlignment="1">
      <alignment horizontal="right" vertical="center" wrapText="1"/>
    </xf>
    <xf numFmtId="171" fontId="121" fillId="16" borderId="8" xfId="4" applyNumberFormat="1" applyFont="1" applyFill="1" applyBorder="1" applyAlignment="1">
      <alignment horizontal="right" vertical="center" wrapText="1"/>
    </xf>
    <xf numFmtId="0" fontId="121" fillId="0" borderId="8" xfId="4" applyFont="1" applyBorder="1" applyAlignment="1">
      <alignment horizontal="right" vertical="center" wrapText="1"/>
    </xf>
    <xf numFmtId="0" fontId="121" fillId="16" borderId="8" xfId="4" applyFont="1" applyFill="1" applyBorder="1" applyAlignment="1">
      <alignment horizontal="right" vertical="center" wrapText="1"/>
    </xf>
    <xf numFmtId="0" fontId="121" fillId="0" borderId="8" xfId="4" applyFont="1" applyBorder="1" applyAlignment="1">
      <alignment vertical="center" wrapText="1"/>
    </xf>
    <xf numFmtId="0" fontId="102" fillId="17" borderId="8" xfId="4" applyFont="1" applyFill="1" applyBorder="1" applyAlignment="1">
      <alignment horizontal="right" vertical="center" wrapText="1"/>
    </xf>
    <xf numFmtId="0" fontId="102" fillId="5" borderId="8" xfId="4" applyFont="1" applyFill="1" applyBorder="1" applyAlignment="1">
      <alignment horizontal="right" vertical="center" wrapText="1"/>
    </xf>
    <xf numFmtId="0" fontId="102" fillId="0" borderId="0" xfId="4" applyFont="1" applyAlignment="1">
      <alignment horizontal="left" vertical="center" wrapText="1"/>
    </xf>
    <xf numFmtId="0" fontId="102" fillId="15" borderId="0" xfId="4" applyFont="1" applyFill="1" applyAlignment="1">
      <alignment vertical="center" wrapText="1"/>
    </xf>
    <xf numFmtId="0" fontId="121" fillId="0" borderId="0" xfId="4" applyFont="1" applyAlignment="1">
      <alignment horizontal="left" vertical="center" wrapText="1"/>
    </xf>
    <xf numFmtId="0" fontId="102" fillId="15" borderId="0" xfId="4" applyFont="1" applyFill="1" applyAlignment="1">
      <alignment horizontal="right" vertical="center" wrapText="1"/>
    </xf>
    <xf numFmtId="0" fontId="86" fillId="0" borderId="0" xfId="4" applyAlignment="1">
      <alignment horizontal="left"/>
    </xf>
    <xf numFmtId="0" fontId="122" fillId="0" borderId="0" xfId="4" applyFont="1" applyAlignment="1">
      <alignment horizontal="left"/>
    </xf>
    <xf numFmtId="0" fontId="122" fillId="0" borderId="0" xfId="4" applyFont="1" applyAlignment="1">
      <alignment horizontal="left" vertical="top" wrapText="1"/>
    </xf>
    <xf numFmtId="0" fontId="88" fillId="18" borderId="142" xfId="4" applyFont="1" applyFill="1" applyBorder="1" applyAlignment="1">
      <alignment horizontal="center" vertical="center"/>
    </xf>
    <xf numFmtId="0" fontId="88" fillId="0" borderId="0" xfId="4" applyFont="1" applyAlignment="1">
      <alignment horizontal="left"/>
    </xf>
    <xf numFmtId="0" fontId="123" fillId="0" borderId="12" xfId="4" applyFont="1" applyBorder="1" applyAlignment="1">
      <alignment horizontal="center" vertical="top" wrapText="1"/>
    </xf>
    <xf numFmtId="0" fontId="123" fillId="0" borderId="0" xfId="4" applyFont="1" applyBorder="1" applyAlignment="1">
      <alignment horizontal="center" vertical="top" wrapText="1"/>
    </xf>
    <xf numFmtId="0" fontId="123" fillId="0" borderId="13" xfId="4" applyFont="1" applyBorder="1" applyAlignment="1">
      <alignment horizontal="center" vertical="top" wrapText="1"/>
    </xf>
    <xf numFmtId="0" fontId="86" fillId="0" borderId="0" xfId="4" applyBorder="1" applyAlignment="1">
      <alignment vertical="top" wrapText="1"/>
    </xf>
    <xf numFmtId="0" fontId="123" fillId="0" borderId="144" xfId="4" applyFont="1" applyBorder="1" applyAlignment="1">
      <alignment horizontal="center" vertical="top" wrapText="1"/>
    </xf>
    <xf numFmtId="0" fontId="123" fillId="0" borderId="20" xfId="4" applyFont="1" applyBorder="1" applyAlignment="1">
      <alignment horizontal="center" vertical="top" wrapText="1"/>
    </xf>
    <xf numFmtId="0" fontId="123" fillId="0" borderId="13" xfId="4" applyFont="1" applyBorder="1" applyAlignment="1">
      <alignment horizontal="justify" vertical="top" wrapText="1"/>
    </xf>
    <xf numFmtId="0" fontId="123" fillId="0" borderId="145" xfId="4" applyFont="1" applyBorder="1" applyAlignment="1">
      <alignment horizontal="center" vertical="top" wrapText="1"/>
    </xf>
    <xf numFmtId="0" fontId="86" fillId="0" borderId="11" xfId="4" applyBorder="1" applyAlignment="1">
      <alignment horizontal="left"/>
    </xf>
    <xf numFmtId="0" fontId="86" fillId="0" borderId="143" xfId="4" applyBorder="1" applyAlignment="1">
      <alignment horizontal="left"/>
    </xf>
    <xf numFmtId="0" fontId="86" fillId="0" borderId="144" xfId="4" applyBorder="1" applyAlignment="1">
      <alignment horizontal="left"/>
    </xf>
    <xf numFmtId="0" fontId="86" fillId="0" borderId="15" xfId="4" applyBorder="1" applyAlignment="1">
      <alignment horizontal="left"/>
    </xf>
    <xf numFmtId="0" fontId="86" fillId="0" borderId="0" xfId="4" applyBorder="1" applyAlignment="1">
      <alignment horizontal="left"/>
    </xf>
    <xf numFmtId="0" fontId="86" fillId="0" borderId="145" xfId="4" applyBorder="1" applyAlignment="1">
      <alignment horizontal="left"/>
    </xf>
    <xf numFmtId="0" fontId="86" fillId="0" borderId="18" xfId="4" applyBorder="1" applyAlignment="1">
      <alignment horizontal="left"/>
    </xf>
    <xf numFmtId="0" fontId="86" fillId="0" borderId="19" xfId="4" applyBorder="1" applyAlignment="1">
      <alignment horizontal="left"/>
    </xf>
    <xf numFmtId="0" fontId="86" fillId="0" borderId="20" xfId="4" applyBorder="1" applyAlignment="1">
      <alignment horizontal="left"/>
    </xf>
    <xf numFmtId="0" fontId="123" fillId="0" borderId="0" xfId="4" applyFont="1" applyAlignment="1">
      <alignment horizontal="right"/>
    </xf>
    <xf numFmtId="0" fontId="86" fillId="0" borderId="0" xfId="4"/>
    <xf numFmtId="0" fontId="123" fillId="0" borderId="0" xfId="4" applyFont="1" applyAlignment="1">
      <alignment horizontal="justify"/>
    </xf>
    <xf numFmtId="0" fontId="86" fillId="0" borderId="0" xfId="4" applyAlignment="1">
      <alignment horizontal="left" vertical="center"/>
    </xf>
    <xf numFmtId="0" fontId="123" fillId="0" borderId="21" xfId="4" applyFont="1" applyBorder="1" applyAlignment="1">
      <alignment horizontal="center" wrapText="1"/>
    </xf>
    <xf numFmtId="0" fontId="123" fillId="0" borderId="10" xfId="4" applyFont="1" applyBorder="1" applyAlignment="1">
      <alignment horizontal="center" wrapText="1"/>
    </xf>
    <xf numFmtId="0" fontId="123" fillId="0" borderId="146" xfId="4" applyFont="1" applyBorder="1" applyAlignment="1">
      <alignment horizontal="center" wrapText="1"/>
    </xf>
    <xf numFmtId="0" fontId="123" fillId="0" borderId="15" xfId="4" applyFont="1" applyBorder="1" applyAlignment="1">
      <alignment horizontal="center" vertical="top" wrapText="1"/>
    </xf>
    <xf numFmtId="0" fontId="123" fillId="0" borderId="0" xfId="4" applyFont="1" applyAlignment="1">
      <alignment horizontal="center" vertical="top" wrapText="1"/>
    </xf>
    <xf numFmtId="0" fontId="126" fillId="0" borderId="0" xfId="4" applyFont="1" applyAlignment="1">
      <alignment horizontal="center" vertical="top" wrapText="1"/>
    </xf>
    <xf numFmtId="0" fontId="126" fillId="0" borderId="0" xfId="4" applyFont="1" applyBorder="1" applyAlignment="1">
      <alignment horizontal="center" vertical="top" wrapText="1"/>
    </xf>
    <xf numFmtId="0" fontId="127" fillId="0" borderId="0" xfId="4" applyFont="1" applyBorder="1" applyAlignment="1">
      <alignment horizontal="justify" vertical="top" wrapText="1"/>
    </xf>
    <xf numFmtId="0" fontId="96" fillId="0" borderId="0" xfId="5" applyAlignment="1" applyProtection="1">
      <alignment vertical="center" wrapText="1"/>
    </xf>
    <xf numFmtId="4" fontId="109" fillId="0" borderId="0" xfId="4" applyNumberFormat="1" applyFont="1" applyFill="1" applyBorder="1" applyAlignment="1" applyProtection="1"/>
    <xf numFmtId="1" fontId="83" fillId="7" borderId="0" xfId="0" applyNumberFormat="1" applyFont="1" applyFill="1" applyBorder="1" applyAlignment="1" applyProtection="1"/>
    <xf numFmtId="1" fontId="82" fillId="0" borderId="0" xfId="0" applyNumberFormat="1" applyFont="1" applyFill="1" applyBorder="1" applyAlignment="1" applyProtection="1">
      <alignment vertical="center"/>
    </xf>
    <xf numFmtId="0" fontId="85" fillId="0" borderId="86" xfId="0" applyFont="1" applyFill="1" applyBorder="1" applyAlignment="1" applyProtection="1">
      <alignment horizontal="left" vertical="center"/>
    </xf>
    <xf numFmtId="0" fontId="119" fillId="0" borderId="0" xfId="4" applyFont="1" applyFill="1" applyBorder="1" applyAlignment="1" applyProtection="1">
      <alignment horizontal="center" vertical="center" wrapText="1"/>
    </xf>
    <xf numFmtId="0" fontId="108" fillId="0" borderId="0" xfId="4" applyFont="1" applyAlignment="1" applyProtection="1">
      <alignment horizontal="right" vertical="center"/>
    </xf>
    <xf numFmtId="0" fontId="112" fillId="0" borderId="0" xfId="4" applyFont="1" applyFill="1" applyBorder="1" applyAlignment="1" applyProtection="1">
      <alignment horizontal="center" vertical="center" wrapText="1"/>
    </xf>
    <xf numFmtId="0" fontId="131" fillId="0" borderId="0" xfId="4" applyFont="1" applyFill="1" applyBorder="1" applyAlignment="1" applyProtection="1">
      <alignment wrapText="1"/>
    </xf>
    <xf numFmtId="0" fontId="133" fillId="0" borderId="0" xfId="4" applyFont="1" applyBorder="1" applyAlignment="1" applyProtection="1">
      <alignment horizontal="center"/>
    </xf>
    <xf numFmtId="0" fontId="134" fillId="0" borderId="0" xfId="5" applyFont="1" applyBorder="1" applyAlignment="1" applyProtection="1">
      <alignment wrapText="1"/>
    </xf>
    <xf numFmtId="170" fontId="27" fillId="0" borderId="0" xfId="4" applyNumberFormat="1" applyFont="1" applyFill="1" applyBorder="1" applyAlignment="1" applyProtection="1"/>
    <xf numFmtId="0" fontId="135" fillId="0" borderId="0" xfId="4" applyFont="1" applyFill="1" applyBorder="1" applyAlignment="1" applyProtection="1">
      <alignment wrapText="1"/>
    </xf>
    <xf numFmtId="0" fontId="0" fillId="0" borderId="0" xfId="0" applyFill="1" applyProtection="1"/>
    <xf numFmtId="0" fontId="89" fillId="0" borderId="0" xfId="4" applyFont="1" applyFill="1" applyAlignment="1">
      <alignment vertical="center"/>
    </xf>
    <xf numFmtId="1" fontId="107" fillId="0" borderId="0" xfId="4" applyNumberFormat="1" applyFont="1" applyFill="1" applyBorder="1" applyAlignment="1" applyProtection="1">
      <alignment vertical="center" textRotation="90"/>
    </xf>
    <xf numFmtId="0" fontId="27" fillId="0" borderId="0" xfId="4" applyFont="1" applyFill="1" applyBorder="1" applyAlignment="1" applyProtection="1">
      <alignment horizontal="center" wrapText="1"/>
      <protection locked="0"/>
    </xf>
    <xf numFmtId="0" fontId="137" fillId="5" borderId="86" xfId="4" applyFont="1" applyFill="1" applyBorder="1" applyAlignment="1" applyProtection="1">
      <alignment horizontal="center" vertical="center"/>
      <protection locked="0"/>
    </xf>
    <xf numFmtId="0" fontId="27" fillId="0" borderId="0" xfId="4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9" fillId="0" borderId="0" xfId="4" applyFont="1" applyFill="1" applyBorder="1" applyAlignment="1" applyProtection="1">
      <alignment vertical="center" wrapText="1"/>
    </xf>
    <xf numFmtId="1" fontId="49" fillId="0" borderId="0" xfId="4" applyNumberFormat="1" applyFont="1" applyFill="1" applyBorder="1" applyAlignment="1" applyProtection="1">
      <alignment vertical="center"/>
    </xf>
    <xf numFmtId="1" fontId="49" fillId="0" borderId="0" xfId="4" applyNumberFormat="1" applyFont="1" applyFill="1" applyBorder="1" applyAlignment="1" applyProtection="1">
      <alignment vertical="center" textRotation="90"/>
    </xf>
    <xf numFmtId="1" fontId="49" fillId="0" borderId="0" xfId="0" applyNumberFormat="1" applyFont="1" applyFill="1" applyProtection="1"/>
    <xf numFmtId="0" fontId="140" fillId="0" borderId="0" xfId="0" applyFont="1" applyFill="1" applyProtection="1"/>
    <xf numFmtId="0" fontId="49" fillId="0" borderId="0" xfId="4" applyFont="1" applyFill="1" applyBorder="1" applyAlignment="1" applyProtection="1">
      <alignment vertical="center"/>
    </xf>
    <xf numFmtId="1" fontId="136" fillId="7" borderId="0" xfId="0" applyNumberFormat="1" applyFont="1" applyFill="1" applyBorder="1" applyAlignment="1" applyProtection="1">
      <alignment vertical="center" wrapText="1"/>
    </xf>
    <xf numFmtId="1" fontId="135" fillId="0" borderId="0" xfId="0" applyNumberFormat="1" applyFont="1" applyFill="1" applyProtection="1"/>
    <xf numFmtId="0" fontId="135" fillId="0" borderId="0" xfId="0" applyFont="1" applyFill="1" applyProtection="1"/>
    <xf numFmtId="0" fontId="135" fillId="0" borderId="0" xfId="4" applyFont="1" applyBorder="1" applyAlignment="1" applyProtection="1">
      <alignment horizontal="center"/>
    </xf>
    <xf numFmtId="0" fontId="135" fillId="0" borderId="0" xfId="4" applyFont="1" applyBorder="1" applyAlignment="1"/>
    <xf numFmtId="0" fontId="23" fillId="7" borderId="0" xfId="0" applyFont="1" applyFill="1" applyBorder="1" applyAlignment="1" applyProtection="1">
      <alignment horizontal="left" vertical="center"/>
    </xf>
    <xf numFmtId="0" fontId="141" fillId="0" borderId="0" xfId="0" applyFont="1" applyFill="1" applyProtection="1"/>
    <xf numFmtId="0" fontId="142" fillId="0" borderId="0" xfId="4" applyFont="1" applyFill="1" applyBorder="1" applyAlignment="1" applyProtection="1">
      <alignment wrapText="1"/>
    </xf>
    <xf numFmtId="0" fontId="142" fillId="0" borderId="0" xfId="4" applyFont="1" applyBorder="1" applyAlignment="1" applyProtection="1">
      <alignment horizontal="center"/>
    </xf>
    <xf numFmtId="0" fontId="143" fillId="0" borderId="0" xfId="5" applyFont="1" applyBorder="1" applyAlignment="1" applyProtection="1">
      <alignment wrapText="1"/>
    </xf>
    <xf numFmtId="0" fontId="144" fillId="0" borderId="0" xfId="0" applyFont="1" applyFill="1" applyProtection="1"/>
    <xf numFmtId="1" fontId="83" fillId="7" borderId="147" xfId="0" applyNumberFormat="1" applyFont="1" applyFill="1" applyBorder="1" applyAlignment="1" applyProtection="1"/>
    <xf numFmtId="1" fontId="136" fillId="7" borderId="148" xfId="0" applyNumberFormat="1" applyFont="1" applyFill="1" applyBorder="1" applyAlignment="1" applyProtection="1">
      <alignment vertical="center" wrapText="1"/>
    </xf>
    <xf numFmtId="1" fontId="136" fillId="7" borderId="150" xfId="0" applyNumberFormat="1" applyFont="1" applyFill="1" applyBorder="1" applyAlignment="1" applyProtection="1">
      <alignment vertical="center" wrapText="1"/>
    </xf>
    <xf numFmtId="1" fontId="83" fillId="7" borderId="152" xfId="0" applyNumberFormat="1" applyFont="1" applyFill="1" applyBorder="1" applyAlignment="1" applyProtection="1"/>
    <xf numFmtId="1" fontId="136" fillId="7" borderId="153" xfId="0" applyNumberFormat="1" applyFont="1" applyFill="1" applyBorder="1" applyAlignment="1" applyProtection="1">
      <alignment vertical="center" wrapText="1"/>
    </xf>
    <xf numFmtId="1" fontId="75" fillId="7" borderId="147" xfId="0" applyNumberFormat="1" applyFont="1" applyFill="1" applyBorder="1" applyAlignment="1" applyProtection="1">
      <alignment vertical="center"/>
    </xf>
    <xf numFmtId="1" fontId="75" fillId="7" borderId="0" xfId="0" applyNumberFormat="1" applyFont="1" applyFill="1" applyBorder="1" applyAlignment="1" applyProtection="1">
      <alignment vertical="center"/>
    </xf>
    <xf numFmtId="1" fontId="75" fillId="7" borderId="152" xfId="0" applyNumberFormat="1" applyFont="1" applyFill="1" applyBorder="1" applyAlignment="1" applyProtection="1">
      <alignment vertical="center"/>
    </xf>
    <xf numFmtId="0" fontId="29" fillId="7" borderId="147" xfId="4" applyFont="1" applyFill="1" applyBorder="1" applyAlignment="1" applyProtection="1">
      <alignment horizontal="right" vertical="center" wrapText="1"/>
    </xf>
    <xf numFmtId="0" fontId="0" fillId="7" borderId="148" xfId="0" applyFill="1" applyBorder="1" applyProtection="1"/>
    <xf numFmtId="0" fontId="29" fillId="7" borderId="152" xfId="4" applyFont="1" applyFill="1" applyBorder="1" applyAlignment="1" applyProtection="1">
      <alignment horizontal="right" vertical="center" wrapText="1"/>
    </xf>
    <xf numFmtId="1" fontId="136" fillId="7" borderId="153" xfId="0" applyNumberFormat="1" applyFont="1" applyFill="1" applyBorder="1" applyAlignment="1" applyProtection="1">
      <alignment vertical="center"/>
    </xf>
    <xf numFmtId="0" fontId="0" fillId="7" borderId="147" xfId="0" applyFill="1" applyBorder="1" applyAlignment="1" applyProtection="1">
      <alignment vertical="center"/>
    </xf>
    <xf numFmtId="1" fontId="136" fillId="7" borderId="147" xfId="0" applyNumberFormat="1" applyFont="1" applyFill="1" applyBorder="1" applyAlignment="1" applyProtection="1">
      <alignment vertical="center"/>
    </xf>
    <xf numFmtId="1" fontId="136" fillId="7" borderId="152" xfId="0" applyNumberFormat="1" applyFont="1" applyFill="1" applyBorder="1" applyAlignment="1" applyProtection="1">
      <alignment vertical="center"/>
    </xf>
    <xf numFmtId="0" fontId="75" fillId="7" borderId="152" xfId="4" applyFont="1" applyFill="1" applyBorder="1" applyAlignment="1" applyProtection="1">
      <alignment vertical="center" wrapText="1"/>
    </xf>
    <xf numFmtId="0" fontId="75" fillId="7" borderId="147" xfId="4" applyFont="1" applyFill="1" applyBorder="1" applyAlignment="1" applyProtection="1">
      <alignment vertical="center" wrapText="1"/>
    </xf>
    <xf numFmtId="1" fontId="136" fillId="7" borderId="147" xfId="0" applyNumberFormat="1" applyFont="1" applyFill="1" applyBorder="1" applyAlignment="1" applyProtection="1">
      <alignment vertical="center" wrapText="1"/>
    </xf>
    <xf numFmtId="1" fontId="136" fillId="7" borderId="152" xfId="0" applyNumberFormat="1" applyFont="1" applyFill="1" applyBorder="1" applyAlignment="1" applyProtection="1">
      <alignment vertical="center" wrapText="1"/>
    </xf>
    <xf numFmtId="0" fontId="132" fillId="7" borderId="0" xfId="4" applyFont="1" applyFill="1" applyBorder="1" applyAlignment="1" applyProtection="1">
      <alignment vertical="center"/>
      <protection locked="0"/>
    </xf>
    <xf numFmtId="0" fontId="75" fillId="0" borderId="0" xfId="4" applyFont="1" applyFill="1" applyBorder="1" applyAlignment="1" applyProtection="1">
      <alignment horizontal="center" vertical="center" wrapText="1"/>
    </xf>
    <xf numFmtId="1" fontId="136" fillId="0" borderId="0" xfId="0" applyNumberFormat="1" applyFont="1" applyFill="1" applyBorder="1" applyAlignment="1" applyProtection="1">
      <alignment vertical="center"/>
    </xf>
    <xf numFmtId="0" fontId="75" fillId="0" borderId="0" xfId="4" applyFont="1" applyFill="1" applyBorder="1" applyAlignment="1" applyProtection="1">
      <alignment vertical="center" wrapText="1"/>
    </xf>
    <xf numFmtId="0" fontId="27" fillId="0" borderId="56" xfId="4" applyFont="1" applyFill="1" applyBorder="1" applyAlignment="1" applyProtection="1"/>
    <xf numFmtId="0" fontId="146" fillId="0" borderId="0" xfId="0" applyFont="1" applyFill="1" applyAlignment="1" applyProtection="1">
      <alignment horizontal="right"/>
    </xf>
    <xf numFmtId="1" fontId="37" fillId="0" borderId="0" xfId="0" applyNumberFormat="1" applyFont="1" applyFill="1" applyProtection="1"/>
    <xf numFmtId="0" fontId="146" fillId="0" borderId="0" xfId="0" applyFont="1" applyFill="1" applyAlignment="1" applyProtection="1">
      <alignment horizontal="left" indent="1"/>
    </xf>
    <xf numFmtId="0" fontId="146" fillId="0" borderId="0" xfId="0" applyFont="1" applyFill="1" applyProtection="1"/>
    <xf numFmtId="0" fontId="146" fillId="0" borderId="0" xfId="0" applyFont="1" applyFill="1" applyAlignment="1" applyProtection="1">
      <alignment horizontal="left" vertical="top" indent="1"/>
    </xf>
    <xf numFmtId="1" fontId="146" fillId="0" borderId="0" xfId="0" applyNumberFormat="1" applyFont="1" applyFill="1" applyAlignment="1" applyProtection="1">
      <alignment horizontal="right" vertical="center"/>
    </xf>
    <xf numFmtId="0" fontId="146" fillId="0" borderId="0" xfId="4" applyFont="1" applyFill="1" applyBorder="1" applyAlignment="1" applyProtection="1">
      <alignment wrapText="1"/>
    </xf>
    <xf numFmtId="0" fontId="146" fillId="0" borderId="0" xfId="4" applyFont="1" applyBorder="1" applyAlignment="1" applyProtection="1">
      <alignment horizontal="center"/>
    </xf>
    <xf numFmtId="0" fontId="146" fillId="0" borderId="0" xfId="4" applyFont="1" applyBorder="1" applyAlignment="1"/>
    <xf numFmtId="0" fontId="146" fillId="0" borderId="0" xfId="4" applyFont="1" applyFill="1" applyBorder="1" applyAlignment="1" applyProtection="1">
      <protection locked="0"/>
    </xf>
    <xf numFmtId="1" fontId="146" fillId="0" borderId="0" xfId="0" applyNumberFormat="1" applyFont="1" applyFill="1" applyProtection="1"/>
    <xf numFmtId="1" fontId="146" fillId="0" borderId="0" xfId="0" applyNumberFormat="1" applyFont="1" applyFill="1" applyAlignment="1" applyProtection="1">
      <alignment horizontal="left" indent="5"/>
    </xf>
    <xf numFmtId="1" fontId="146" fillId="0" borderId="0" xfId="0" applyNumberFormat="1" applyFont="1" applyFill="1" applyAlignment="1" applyProtection="1">
      <alignment horizontal="left" vertical="center" indent="6"/>
    </xf>
    <xf numFmtId="1" fontId="146" fillId="0" borderId="0" xfId="0" applyNumberFormat="1" applyFont="1" applyFill="1" applyAlignment="1" applyProtection="1">
      <alignment horizontal="left" indent="3"/>
    </xf>
    <xf numFmtId="1" fontId="146" fillId="0" borderId="0" xfId="0" applyNumberFormat="1" applyFont="1" applyFill="1" applyAlignment="1" applyProtection="1"/>
    <xf numFmtId="0" fontId="0" fillId="0" borderId="0" xfId="0" applyFill="1" applyProtection="1"/>
    <xf numFmtId="0" fontId="148" fillId="0" borderId="0" xfId="0" applyFont="1" applyFill="1" applyProtection="1"/>
    <xf numFmtId="0" fontId="50" fillId="0" borderId="0" xfId="0" applyFont="1" applyFill="1" applyProtection="1"/>
    <xf numFmtId="1" fontId="149" fillId="0" borderId="0" xfId="0" applyNumberFormat="1" applyFont="1" applyFill="1" applyProtection="1">
      <protection hidden="1"/>
    </xf>
    <xf numFmtId="1" fontId="50" fillId="0" borderId="0" xfId="0" applyNumberFormat="1" applyFont="1" applyFill="1" applyProtection="1">
      <protection hidden="1"/>
    </xf>
    <xf numFmtId="1" fontId="149" fillId="0" borderId="0" xfId="0" applyNumberFormat="1" applyFont="1" applyFill="1" applyAlignment="1" applyProtection="1">
      <alignment horizontal="left" indent="7"/>
      <protection hidden="1"/>
    </xf>
    <xf numFmtId="1" fontId="50" fillId="0" borderId="0" xfId="0" applyNumberFormat="1" applyFont="1" applyFill="1" applyAlignment="1" applyProtection="1">
      <alignment horizontal="center" vertical="center"/>
      <protection hidden="1"/>
    </xf>
    <xf numFmtId="1" fontId="149" fillId="0" borderId="0" xfId="0" applyNumberFormat="1" applyFont="1" applyFill="1" applyAlignment="1" applyProtection="1">
      <alignment horizontal="left"/>
      <protection hidden="1"/>
    </xf>
    <xf numFmtId="1" fontId="149" fillId="0" borderId="0" xfId="0" applyNumberFormat="1" applyFont="1" applyFill="1" applyAlignment="1" applyProtection="1">
      <alignment horizontal="center"/>
      <protection hidden="1"/>
    </xf>
    <xf numFmtId="1" fontId="149" fillId="0" borderId="0" xfId="0" applyNumberFormat="1" applyFont="1" applyFill="1" applyAlignment="1" applyProtection="1">
      <alignment horizontal="right"/>
      <protection hidden="1"/>
    </xf>
    <xf numFmtId="1" fontId="149" fillId="0" borderId="0" xfId="0" applyNumberFormat="1" applyFont="1" applyFill="1" applyAlignment="1" applyProtection="1">
      <alignment horizontal="left" indent="1"/>
      <protection hidden="1"/>
    </xf>
    <xf numFmtId="1" fontId="50" fillId="0" borderId="0" xfId="0" applyNumberFormat="1" applyFont="1" applyFill="1" applyAlignment="1" applyProtection="1">
      <alignment horizontal="left"/>
      <protection hidden="1"/>
    </xf>
    <xf numFmtId="1" fontId="50" fillId="0" borderId="0" xfId="0" applyNumberFormat="1" applyFont="1" applyFill="1" applyAlignment="1" applyProtection="1">
      <alignment horizontal="center" vertical="center"/>
    </xf>
    <xf numFmtId="1" fontId="50" fillId="0" borderId="0" xfId="0" applyNumberFormat="1" applyFont="1" applyFill="1" applyAlignment="1" applyProtection="1">
      <alignment horizontal="center"/>
      <protection hidden="1"/>
    </xf>
    <xf numFmtId="1" fontId="50" fillId="0" borderId="0" xfId="0" applyNumberFormat="1" applyFont="1" applyFill="1" applyProtection="1"/>
    <xf numFmtId="1" fontId="149" fillId="0" borderId="0" xfId="0" applyNumberFormat="1" applyFont="1" applyFill="1" applyProtection="1"/>
    <xf numFmtId="1" fontId="149" fillId="0" borderId="0" xfId="0" applyNumberFormat="1" applyFont="1" applyFill="1" applyAlignment="1" applyProtection="1">
      <alignment horizontal="left"/>
    </xf>
    <xf numFmtId="1" fontId="149" fillId="0" borderId="0" xfId="0" applyNumberFormat="1" applyFont="1" applyFill="1" applyAlignment="1" applyProtection="1">
      <alignment horizontal="center"/>
    </xf>
    <xf numFmtId="1" fontId="149" fillId="0" borderId="0" xfId="0" applyNumberFormat="1" applyFont="1" applyFill="1" applyAlignment="1" applyProtection="1">
      <alignment horizontal="left" indent="1"/>
    </xf>
    <xf numFmtId="1" fontId="149" fillId="0" borderId="0" xfId="0" applyNumberFormat="1" applyFont="1" applyFill="1" applyAlignment="1" applyProtection="1">
      <alignment horizontal="left" indent="2"/>
    </xf>
    <xf numFmtId="1" fontId="149" fillId="0" borderId="0" xfId="0" applyNumberFormat="1" applyFont="1" applyFill="1" applyAlignment="1" applyProtection="1">
      <alignment horizontal="left" indent="3"/>
    </xf>
    <xf numFmtId="1" fontId="149" fillId="0" borderId="0" xfId="0" applyNumberFormat="1" applyFont="1" applyFill="1" applyAlignment="1" applyProtection="1">
      <alignment horizontal="left" indent="4"/>
    </xf>
    <xf numFmtId="1" fontId="149" fillId="0" borderId="0" xfId="0" applyNumberFormat="1" applyFont="1" applyFill="1" applyAlignment="1" applyProtection="1">
      <alignment horizontal="right"/>
    </xf>
    <xf numFmtId="1" fontId="149" fillId="0" borderId="0" xfId="0" applyNumberFormat="1" applyFont="1" applyFill="1" applyAlignment="1" applyProtection="1">
      <alignment horizontal="left" indent="5"/>
    </xf>
    <xf numFmtId="1" fontId="149" fillId="0" borderId="0" xfId="0" applyNumberFormat="1" applyFont="1" applyFill="1" applyAlignment="1" applyProtection="1">
      <alignment horizontal="left" indent="9"/>
    </xf>
    <xf numFmtId="1" fontId="149" fillId="0" borderId="0" xfId="0" applyNumberFormat="1" applyFont="1" applyFill="1" applyAlignment="1" applyProtection="1">
      <alignment horizontal="left" indent="10"/>
    </xf>
    <xf numFmtId="1" fontId="50" fillId="0" borderId="0" xfId="0" applyNumberFormat="1" applyFont="1" applyFill="1" applyAlignment="1" applyProtection="1">
      <alignment vertical="top"/>
      <protection hidden="1"/>
    </xf>
    <xf numFmtId="1" fontId="50" fillId="0" borderId="0" xfId="0" applyNumberFormat="1" applyFont="1" applyFill="1" applyAlignment="1" applyProtection="1">
      <alignment horizontal="left" vertical="center" indent="1"/>
      <protection hidden="1"/>
    </xf>
    <xf numFmtId="1" fontId="149" fillId="0" borderId="0" xfId="0" applyNumberFormat="1" applyFont="1" applyFill="1" applyAlignment="1" applyProtection="1">
      <alignment vertical="top"/>
      <protection hidden="1"/>
    </xf>
    <xf numFmtId="1" fontId="149" fillId="0" borderId="0" xfId="0" applyNumberFormat="1" applyFont="1" applyFill="1" applyAlignment="1" applyProtection="1">
      <alignment horizontal="right" vertical="center"/>
      <protection hidden="1"/>
    </xf>
    <xf numFmtId="1" fontId="50" fillId="0" borderId="0" xfId="0" applyNumberFormat="1" applyFont="1" applyFill="1" applyAlignment="1" applyProtection="1">
      <alignment horizontal="center"/>
    </xf>
    <xf numFmtId="1" fontId="50" fillId="0" borderId="0" xfId="0" applyNumberFormat="1" applyFont="1" applyFill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left"/>
    </xf>
    <xf numFmtId="1" fontId="50" fillId="0" borderId="0" xfId="0" applyNumberFormat="1" applyFont="1" applyFill="1" applyAlignment="1" applyProtection="1">
      <alignment horizontal="left" indent="1"/>
    </xf>
    <xf numFmtId="1" fontId="50" fillId="0" borderId="0" xfId="0" applyNumberFormat="1" applyFont="1" applyFill="1" applyAlignment="1" applyProtection="1">
      <alignment horizontal="left" indent="2"/>
    </xf>
    <xf numFmtId="1" fontId="50" fillId="0" borderId="0" xfId="0" applyNumberFormat="1" applyFont="1" applyFill="1" applyAlignment="1" applyProtection="1">
      <alignment horizontal="left" indent="3"/>
    </xf>
    <xf numFmtId="1" fontId="50" fillId="0" borderId="0" xfId="0" applyNumberFormat="1" applyFont="1" applyFill="1" applyAlignment="1" applyProtection="1">
      <alignment horizontal="right" indent="1"/>
    </xf>
    <xf numFmtId="1" fontId="50" fillId="0" borderId="0" xfId="0" applyNumberFormat="1" applyFont="1" applyFill="1" applyAlignment="1" applyProtection="1">
      <alignment horizontal="left" indent="8"/>
    </xf>
    <xf numFmtId="1" fontId="50" fillId="0" borderId="0" xfId="0" applyNumberFormat="1" applyFont="1" applyFill="1" applyAlignment="1" applyProtection="1">
      <alignment horizontal="left" vertical="center" indent="4"/>
    </xf>
    <xf numFmtId="0" fontId="152" fillId="0" borderId="0" xfId="0" applyFont="1" applyFill="1" applyBorder="1" applyAlignment="1" applyProtection="1">
      <alignment horizontal="left" vertical="center"/>
    </xf>
    <xf numFmtId="1" fontId="60" fillId="0" borderId="0" xfId="0" applyNumberFormat="1" applyFont="1" applyFill="1" applyBorder="1" applyAlignment="1" applyProtection="1">
      <alignment horizontal="left" vertical="center"/>
    </xf>
    <xf numFmtId="1" fontId="152" fillId="0" borderId="0" xfId="0" applyNumberFormat="1" applyFont="1" applyFill="1" applyBorder="1" applyAlignment="1" applyProtection="1">
      <alignment horizontal="left" vertical="center"/>
    </xf>
    <xf numFmtId="0" fontId="153" fillId="0" borderId="0" xfId="0" applyFont="1" applyFill="1" applyProtection="1"/>
    <xf numFmtId="0" fontId="135" fillId="0" borderId="94" xfId="4" applyFont="1" applyFill="1" applyBorder="1" applyAlignment="1" applyProtection="1">
      <alignment horizontal="right" vertical="center"/>
    </xf>
    <xf numFmtId="1" fontId="27" fillId="0" borderId="94" xfId="4" applyNumberFormat="1" applyFont="1" applyFill="1" applyBorder="1" applyAlignment="1" applyProtection="1">
      <alignment horizontal="right"/>
    </xf>
    <xf numFmtId="1" fontId="27" fillId="0" borderId="94" xfId="4" applyNumberFormat="1" applyFont="1" applyFill="1" applyBorder="1" applyAlignment="1" applyProtection="1">
      <alignment horizontal="right" vertical="center"/>
    </xf>
    <xf numFmtId="170" fontId="27" fillId="0" borderId="94" xfId="4" applyNumberFormat="1" applyFont="1" applyFill="1" applyBorder="1" applyAlignment="1" applyProtection="1">
      <alignment horizontal="right" vertical="center"/>
    </xf>
    <xf numFmtId="0" fontId="0" fillId="0" borderId="94" xfId="0" applyFill="1" applyBorder="1" applyAlignment="1" applyProtection="1">
      <alignment horizontal="right"/>
    </xf>
    <xf numFmtId="3" fontId="27" fillId="0" borderId="94" xfId="4" applyNumberFormat="1" applyFont="1" applyFill="1" applyBorder="1" applyAlignment="1" applyProtection="1">
      <alignment horizontal="right" vertical="center"/>
    </xf>
    <xf numFmtId="1" fontId="50" fillId="0" borderId="94" xfId="4" applyNumberFormat="1" applyFont="1" applyFill="1" applyBorder="1" applyAlignment="1" applyProtection="1">
      <alignment horizontal="right" vertical="center"/>
    </xf>
    <xf numFmtId="0" fontId="50" fillId="0" borderId="94" xfId="4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/>
    </xf>
    <xf numFmtId="0" fontId="27" fillId="5" borderId="43" xfId="4" applyFont="1" applyFill="1" applyBorder="1" applyAlignment="1" applyProtection="1">
      <alignment horizontal="right" vertical="center" wrapText="1"/>
      <protection locked="0"/>
    </xf>
    <xf numFmtId="1" fontId="27" fillId="0" borderId="56" xfId="4" applyNumberFormat="1" applyFont="1" applyFill="1" applyBorder="1" applyAlignment="1" applyProtection="1">
      <alignment horizontal="right"/>
    </xf>
    <xf numFmtId="0" fontId="27" fillId="5" borderId="121" xfId="4" applyFont="1" applyFill="1" applyBorder="1" applyAlignment="1" applyProtection="1">
      <alignment horizontal="right" vertical="center" wrapText="1"/>
      <protection locked="0"/>
    </xf>
    <xf numFmtId="1" fontId="43" fillId="0" borderId="94" xfId="0" applyNumberFormat="1" applyFont="1" applyFill="1" applyBorder="1" applyAlignment="1" applyProtection="1">
      <alignment vertical="center"/>
    </xf>
    <xf numFmtId="0" fontId="135" fillId="0" borderId="94" xfId="0" applyFont="1" applyFill="1" applyBorder="1" applyProtection="1"/>
    <xf numFmtId="1" fontId="43" fillId="0" borderId="72" xfId="0" applyNumberFormat="1" applyFont="1" applyFill="1" applyBorder="1" applyAlignment="1" applyProtection="1">
      <alignment vertical="center"/>
    </xf>
    <xf numFmtId="1" fontId="43" fillId="0" borderId="93" xfId="0" applyNumberFormat="1" applyFont="1" applyFill="1" applyBorder="1" applyAlignment="1" applyProtection="1">
      <alignment vertical="center"/>
    </xf>
    <xf numFmtId="1" fontId="130" fillId="0" borderId="94" xfId="4" applyNumberFormat="1" applyFont="1" applyFill="1" applyBorder="1" applyAlignment="1" applyProtection="1">
      <alignment horizontal="right" vertical="center"/>
    </xf>
    <xf numFmtId="1" fontId="61" fillId="0" borderId="0" xfId="0" applyNumberFormat="1" applyFont="1" applyFill="1" applyBorder="1" applyProtection="1"/>
    <xf numFmtId="1" fontId="43" fillId="0" borderId="95" xfId="0" applyNumberFormat="1" applyFont="1" applyFill="1" applyBorder="1" applyAlignment="1" applyProtection="1">
      <alignment vertical="center"/>
    </xf>
    <xf numFmtId="0" fontId="0" fillId="0" borderId="61" xfId="0" applyFill="1" applyBorder="1" applyProtection="1"/>
    <xf numFmtId="1" fontId="43" fillId="0" borderId="73" xfId="0" applyNumberFormat="1" applyFont="1" applyFill="1" applyBorder="1" applyProtection="1"/>
    <xf numFmtId="1" fontId="61" fillId="0" borderId="56" xfId="0" applyNumberFormat="1" applyFont="1" applyFill="1" applyBorder="1" applyProtection="1"/>
    <xf numFmtId="1" fontId="50" fillId="0" borderId="95" xfId="0" applyNumberFormat="1" applyFont="1" applyFill="1" applyBorder="1" applyProtection="1"/>
    <xf numFmtId="2" fontId="27" fillId="0" borderId="94" xfId="4" applyNumberFormat="1" applyFont="1" applyFill="1" applyBorder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right" vertical="center"/>
    </xf>
    <xf numFmtId="0" fontId="43" fillId="0" borderId="105" xfId="0" applyFont="1" applyFill="1" applyBorder="1" applyAlignment="1" applyProtection="1">
      <alignment horizontal="left" vertical="center"/>
    </xf>
    <xf numFmtId="1" fontId="146" fillId="0" borderId="0" xfId="0" applyNumberFormat="1" applyFont="1" applyFill="1" applyAlignment="1" applyProtection="1">
      <alignment vertical="top"/>
    </xf>
    <xf numFmtId="1" fontId="146" fillId="0" borderId="0" xfId="0" applyNumberFormat="1" applyFont="1" applyFill="1" applyAlignment="1" applyProtection="1">
      <alignment horizontal="left" indent="4"/>
    </xf>
    <xf numFmtId="1" fontId="50" fillId="0" borderId="0" xfId="0" applyNumberFormat="1" applyFont="1" applyFill="1" applyAlignment="1" applyProtection="1">
      <alignment horizontal="left" vertical="center"/>
    </xf>
    <xf numFmtId="1" fontId="50" fillId="0" borderId="0" xfId="0" applyNumberFormat="1" applyFont="1" applyFill="1" applyAlignment="1" applyProtection="1">
      <alignment vertical="center"/>
    </xf>
    <xf numFmtId="1" fontId="61" fillId="0" borderId="0" xfId="0" applyNumberFormat="1" applyFont="1" applyFill="1" applyAlignment="1" applyProtection="1"/>
    <xf numFmtId="1" fontId="48" fillId="0" borderId="0" xfId="0" applyNumberFormat="1" applyFont="1" applyFill="1" applyAlignment="1" applyProtection="1">
      <alignment vertical="center"/>
    </xf>
    <xf numFmtId="1" fontId="50" fillId="0" borderId="0" xfId="0" applyNumberFormat="1" applyFont="1" applyFill="1" applyAlignment="1" applyProtection="1">
      <alignment horizontal="right" vertical="center"/>
    </xf>
    <xf numFmtId="0" fontId="43" fillId="0" borderId="105" xfId="0" applyFont="1" applyFill="1" applyBorder="1" applyAlignment="1" applyProtection="1">
      <alignment horizontal="left" vertical="center"/>
    </xf>
    <xf numFmtId="1" fontId="50" fillId="0" borderId="0" xfId="0" applyNumberFormat="1" applyFont="1" applyFill="1" applyAlignment="1" applyProtection="1">
      <alignment horizontal="left" vertical="center"/>
    </xf>
    <xf numFmtId="0" fontId="0" fillId="0" borderId="0" xfId="0" applyFill="1" applyProtection="1"/>
    <xf numFmtId="1" fontId="129" fillId="0" borderId="0" xfId="4" applyNumberFormat="1" applyFont="1" applyFill="1" applyBorder="1" applyAlignment="1" applyProtection="1">
      <alignment horizontal="center"/>
    </xf>
    <xf numFmtId="1" fontId="47" fillId="0" borderId="0" xfId="0" applyNumberFormat="1" applyFont="1" applyFill="1" applyAlignment="1" applyProtection="1">
      <alignment vertical="center"/>
    </xf>
    <xf numFmtId="1" fontId="50" fillId="0" borderId="56" xfId="0" applyNumberFormat="1" applyFont="1" applyFill="1" applyBorder="1" applyAlignment="1" applyProtection="1">
      <alignment horizontal="center" vertical="center"/>
    </xf>
    <xf numFmtId="0" fontId="69" fillId="7" borderId="0" xfId="0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72" fillId="7" borderId="0" xfId="0" applyFont="1" applyFill="1" applyAlignment="1" applyProtection="1"/>
    <xf numFmtId="0" fontId="21" fillId="7" borderId="0" xfId="0" applyFont="1" applyFill="1" applyBorder="1" applyAlignment="1" applyProtection="1">
      <alignment horizontal="right" vertical="center"/>
    </xf>
    <xf numFmtId="0" fontId="61" fillId="7" borderId="0" xfId="0" applyFont="1" applyFill="1" applyProtection="1">
      <protection locked="0"/>
    </xf>
    <xf numFmtId="1" fontId="44" fillId="5" borderId="0" xfId="0" applyNumberFormat="1" applyFont="1" applyFill="1" applyBorder="1" applyAlignment="1" applyProtection="1">
      <alignment horizontal="center" wrapText="1"/>
      <protection locked="0"/>
    </xf>
    <xf numFmtId="1" fontId="44" fillId="5" borderId="90" xfId="0" applyNumberFormat="1" applyFont="1" applyFill="1" applyBorder="1" applyAlignment="1" applyProtection="1">
      <alignment horizontal="center" wrapText="1"/>
      <protection locked="0"/>
    </xf>
    <xf numFmtId="0" fontId="23" fillId="7" borderId="0" xfId="0" applyFont="1" applyFill="1" applyBorder="1" applyAlignment="1" applyProtection="1">
      <alignment horizontal="left" vertical="center"/>
      <protection locked="0"/>
    </xf>
    <xf numFmtId="0" fontId="28" fillId="0" borderId="0" xfId="1" applyFont="1" applyFill="1" applyBorder="1" applyProtection="1"/>
    <xf numFmtId="0" fontId="162" fillId="0" borderId="0" xfId="1" applyFont="1" applyFill="1" applyAlignment="1" applyProtection="1">
      <alignment vertical="center" wrapText="1"/>
    </xf>
    <xf numFmtId="0" fontId="163" fillId="0" borderId="0" xfId="1" applyFont="1" applyFill="1" applyProtection="1">
      <protection locked="0"/>
    </xf>
    <xf numFmtId="0" fontId="28" fillId="0" borderId="0" xfId="1" applyFont="1" applyFill="1" applyProtection="1">
      <protection locked="0"/>
    </xf>
    <xf numFmtId="0" fontId="28" fillId="0" borderId="51" xfId="1" applyFont="1" applyFill="1" applyBorder="1" applyAlignment="1" applyProtection="1">
      <alignment vertical="center"/>
    </xf>
    <xf numFmtId="0" fontId="28" fillId="0" borderId="47" xfId="1" applyFont="1" applyFill="1" applyBorder="1" applyProtection="1"/>
    <xf numFmtId="0" fontId="165" fillId="0" borderId="52" xfId="1" applyFont="1" applyFill="1" applyBorder="1" applyAlignment="1" applyProtection="1">
      <alignment vertical="center"/>
    </xf>
    <xf numFmtId="0" fontId="165" fillId="0" borderId="53" xfId="1" applyFont="1" applyFill="1" applyBorder="1" applyAlignment="1" applyProtection="1">
      <alignment vertical="center"/>
    </xf>
    <xf numFmtId="0" fontId="166" fillId="0" borderId="54" xfId="1" applyFont="1" applyFill="1" applyBorder="1" applyAlignment="1" applyProtection="1">
      <alignment vertical="center" wrapText="1"/>
    </xf>
    <xf numFmtId="0" fontId="165" fillId="0" borderId="0" xfId="1" applyFont="1" applyFill="1" applyBorder="1" applyAlignment="1" applyProtection="1">
      <alignment vertical="center"/>
    </xf>
    <xf numFmtId="0" fontId="165" fillId="0" borderId="55" xfId="1" applyFont="1" applyFill="1" applyBorder="1" applyAlignment="1" applyProtection="1">
      <alignment vertical="center"/>
    </xf>
    <xf numFmtId="0" fontId="166" fillId="0" borderId="55" xfId="1" applyFont="1" applyFill="1" applyBorder="1" applyAlignment="1" applyProtection="1">
      <alignment vertical="center" wrapText="1"/>
    </xf>
    <xf numFmtId="0" fontId="165" fillId="0" borderId="56" xfId="1" applyFont="1" applyFill="1" applyBorder="1" applyAlignment="1" applyProtection="1">
      <alignment vertical="center"/>
    </xf>
    <xf numFmtId="0" fontId="165" fillId="0" borderId="57" xfId="1" applyFont="1" applyFill="1" applyBorder="1" applyAlignment="1" applyProtection="1">
      <alignment vertical="center"/>
    </xf>
    <xf numFmtId="0" fontId="166" fillId="0" borderId="58" xfId="1" applyFont="1" applyFill="1" applyBorder="1" applyAlignment="1" applyProtection="1">
      <alignment vertical="center" wrapText="1"/>
    </xf>
    <xf numFmtId="0" fontId="28" fillId="0" borderId="0" xfId="1" applyFont="1" applyFill="1" applyBorder="1" applyAlignment="1" applyProtection="1"/>
    <xf numFmtId="1" fontId="169" fillId="0" borderId="59" xfId="1" applyNumberFormat="1" applyFont="1" applyFill="1" applyBorder="1" applyAlignment="1" applyProtection="1">
      <alignment horizontal="right" vertical="center"/>
      <protection locked="0"/>
    </xf>
    <xf numFmtId="0" fontId="168" fillId="0" borderId="60" xfId="1" applyFont="1" applyFill="1" applyBorder="1" applyAlignment="1" applyProtection="1">
      <alignment vertical="center"/>
    </xf>
    <xf numFmtId="1" fontId="169" fillId="0" borderId="0" xfId="1" applyNumberFormat="1" applyFont="1" applyFill="1" applyBorder="1" applyAlignment="1" applyProtection="1">
      <alignment horizontal="right" vertical="center"/>
    </xf>
    <xf numFmtId="0" fontId="168" fillId="0" borderId="61" xfId="1" applyFont="1" applyFill="1" applyBorder="1" applyAlignment="1" applyProtection="1">
      <alignment vertical="center"/>
    </xf>
    <xf numFmtId="1" fontId="169" fillId="0" borderId="10" xfId="1" applyNumberFormat="1" applyFont="1" applyFill="1" applyBorder="1" applyAlignment="1" applyProtection="1">
      <alignment horizontal="right" vertical="center"/>
      <protection locked="0"/>
    </xf>
    <xf numFmtId="0" fontId="168" fillId="0" borderId="62" xfId="1" applyFont="1" applyFill="1" applyBorder="1" applyAlignment="1" applyProtection="1">
      <alignment vertical="center"/>
    </xf>
    <xf numFmtId="0" fontId="169" fillId="0" borderId="63" xfId="1" applyFont="1" applyFill="1" applyBorder="1" applyAlignment="1" applyProtection="1">
      <alignment horizontal="right" vertical="center"/>
    </xf>
    <xf numFmtId="20" fontId="28" fillId="0" borderId="0" xfId="1" applyNumberFormat="1" applyFont="1" applyFill="1" applyProtection="1"/>
    <xf numFmtId="1" fontId="169" fillId="0" borderId="64" xfId="1" applyNumberFormat="1" applyFont="1" applyFill="1" applyBorder="1" applyAlignment="1" applyProtection="1">
      <alignment horizontal="right" vertical="center"/>
    </xf>
    <xf numFmtId="0" fontId="168" fillId="0" borderId="65" xfId="1" applyFont="1" applyFill="1" applyBorder="1" applyAlignment="1" applyProtection="1">
      <alignment vertical="center"/>
    </xf>
    <xf numFmtId="0" fontId="28" fillId="0" borderId="62" xfId="1" applyFont="1" applyFill="1" applyBorder="1" applyProtection="1"/>
    <xf numFmtId="164" fontId="172" fillId="0" borderId="0" xfId="1" applyNumberFormat="1" applyFont="1" applyFill="1" applyBorder="1" applyAlignment="1" applyProtection="1">
      <alignment vertical="top"/>
    </xf>
    <xf numFmtId="0" fontId="168" fillId="0" borderId="66" xfId="1" applyFont="1" applyFill="1" applyBorder="1" applyAlignment="1" applyProtection="1">
      <alignment vertical="center"/>
    </xf>
    <xf numFmtId="2" fontId="169" fillId="0" borderId="10" xfId="1" applyNumberFormat="1" applyFont="1" applyFill="1" applyBorder="1" applyAlignment="1" applyProtection="1">
      <alignment horizontal="right" vertical="center"/>
      <protection locked="0"/>
    </xf>
    <xf numFmtId="1" fontId="169" fillId="0" borderId="67" xfId="1" applyNumberFormat="1" applyFont="1" applyFill="1" applyBorder="1" applyAlignment="1" applyProtection="1">
      <alignment horizontal="right" vertical="center"/>
    </xf>
    <xf numFmtId="165" fontId="173" fillId="0" borderId="68" xfId="1" applyNumberFormat="1" applyFont="1" applyFill="1" applyBorder="1" applyAlignment="1" applyProtection="1">
      <alignment horizontal="left" indent="3"/>
    </xf>
    <xf numFmtId="0" fontId="174" fillId="0" borderId="68" xfId="1" applyFont="1" applyFill="1" applyBorder="1" applyAlignment="1" applyProtection="1">
      <alignment horizontal="left"/>
    </xf>
    <xf numFmtId="0" fontId="175" fillId="0" borderId="0" xfId="1" applyFont="1" applyFill="1" applyProtection="1"/>
    <xf numFmtId="165" fontId="173" fillId="0" borderId="0" xfId="1" applyNumberFormat="1" applyFont="1" applyFill="1" applyAlignment="1" applyProtection="1">
      <alignment horizontal="left" indent="4"/>
    </xf>
    <xf numFmtId="0" fontId="174" fillId="0" borderId="65" xfId="1" applyFont="1" applyFill="1" applyBorder="1" applyAlignment="1" applyProtection="1"/>
    <xf numFmtId="1" fontId="169" fillId="0" borderId="63" xfId="1" applyNumberFormat="1" applyFont="1" applyFill="1" applyBorder="1" applyAlignment="1" applyProtection="1">
      <alignment horizontal="right" vertical="center"/>
    </xf>
    <xf numFmtId="165" fontId="28" fillId="0" borderId="0" xfId="1" applyNumberFormat="1" applyFont="1" applyFill="1" applyProtection="1"/>
    <xf numFmtId="0" fontId="176" fillId="0" borderId="0" xfId="1" applyFont="1" applyFill="1" applyBorder="1" applyAlignment="1" applyProtection="1">
      <alignment vertical="top"/>
    </xf>
    <xf numFmtId="1" fontId="169" fillId="0" borderId="69" xfId="1" applyNumberFormat="1" applyFont="1" applyFill="1" applyBorder="1" applyAlignment="1" applyProtection="1">
      <alignment horizontal="right" vertical="center"/>
    </xf>
    <xf numFmtId="1" fontId="169" fillId="0" borderId="68" xfId="1" applyNumberFormat="1" applyFont="1" applyFill="1" applyBorder="1" applyAlignment="1" applyProtection="1">
      <alignment horizontal="right" vertical="center"/>
    </xf>
    <xf numFmtId="1" fontId="169" fillId="0" borderId="70" xfId="1" applyNumberFormat="1" applyFont="1" applyFill="1" applyBorder="1" applyAlignment="1" applyProtection="1">
      <alignment horizontal="right" vertical="center"/>
    </xf>
    <xf numFmtId="0" fontId="168" fillId="0" borderId="71" xfId="1" applyFont="1" applyFill="1" applyBorder="1" applyAlignment="1" applyProtection="1">
      <alignment vertical="center"/>
    </xf>
    <xf numFmtId="1" fontId="28" fillId="0" borderId="0" xfId="1" applyNumberFormat="1" applyFont="1" applyFill="1" applyProtection="1"/>
    <xf numFmtId="0" fontId="28" fillId="0" borderId="61" xfId="1" applyFont="1" applyFill="1" applyBorder="1" applyProtection="1"/>
    <xf numFmtId="0" fontId="28" fillId="0" borderId="10" xfId="1" applyFont="1" applyFill="1" applyBorder="1" applyAlignment="1" applyProtection="1">
      <alignment horizontal="center" vertical="center"/>
    </xf>
    <xf numFmtId="0" fontId="28" fillId="0" borderId="10" xfId="1" applyFont="1" applyFill="1" applyBorder="1" applyProtection="1"/>
    <xf numFmtId="0" fontId="28" fillId="0" borderId="11" xfId="1" applyFont="1" applyFill="1" applyBorder="1" applyAlignment="1" applyProtection="1">
      <alignment horizontal="center"/>
    </xf>
    <xf numFmtId="0" fontId="28" fillId="0" borderId="10" xfId="1" applyFont="1" applyFill="1" applyBorder="1" applyAlignment="1" applyProtection="1">
      <alignment horizontal="center"/>
    </xf>
    <xf numFmtId="0" fontId="28" fillId="0" borderId="12" xfId="1" applyFont="1" applyFill="1" applyBorder="1" applyAlignment="1" applyProtection="1"/>
    <xf numFmtId="1" fontId="28" fillId="0" borderId="12" xfId="1" applyNumberFormat="1" applyFont="1" applyFill="1" applyBorder="1" applyAlignment="1" applyProtection="1"/>
    <xf numFmtId="0" fontId="28" fillId="0" borderId="12" xfId="1" applyFont="1" applyFill="1" applyBorder="1" applyProtection="1"/>
    <xf numFmtId="0" fontId="28" fillId="0" borderId="13" xfId="1" applyFont="1" applyFill="1" applyBorder="1" applyProtection="1"/>
    <xf numFmtId="2" fontId="28" fillId="0" borderId="12" xfId="1" applyNumberFormat="1" applyFont="1" applyFill="1" applyBorder="1" applyProtection="1"/>
    <xf numFmtId="0" fontId="28" fillId="0" borderId="11" xfId="1" applyFont="1" applyFill="1" applyBorder="1" applyProtection="1"/>
    <xf numFmtId="0" fontId="28" fillId="0" borderId="14" xfId="1" applyFont="1" applyFill="1" applyBorder="1" applyAlignment="1" applyProtection="1">
      <alignment horizontal="center"/>
    </xf>
    <xf numFmtId="0" fontId="28" fillId="0" borderId="13" xfId="1" applyFont="1" applyFill="1" applyBorder="1" applyAlignment="1" applyProtection="1"/>
    <xf numFmtId="0" fontId="28" fillId="0" borderId="15" xfId="1" applyFont="1" applyFill="1" applyBorder="1" applyProtection="1"/>
    <xf numFmtId="0" fontId="28" fillId="0" borderId="16" xfId="1" applyFont="1" applyFill="1" applyBorder="1" applyAlignment="1" applyProtection="1">
      <alignment horizontal="center"/>
    </xf>
    <xf numFmtId="0" fontId="28" fillId="0" borderId="17" xfId="1" applyFont="1" applyFill="1" applyBorder="1" applyAlignment="1" applyProtection="1"/>
    <xf numFmtId="0" fontId="28" fillId="0" borderId="17" xfId="1" applyFont="1" applyFill="1" applyBorder="1" applyProtection="1"/>
    <xf numFmtId="0" fontId="28" fillId="0" borderId="18" xfId="1" applyFont="1" applyFill="1" applyBorder="1" applyProtection="1"/>
    <xf numFmtId="14" fontId="28" fillId="0" borderId="0" xfId="1" applyNumberFormat="1" applyFont="1" applyFill="1" applyProtection="1"/>
    <xf numFmtId="0" fontId="28" fillId="0" borderId="0" xfId="1" applyFont="1" applyFill="1" applyBorder="1" applyAlignment="1" applyProtection="1">
      <alignment horizontal="center"/>
    </xf>
    <xf numFmtId="0" fontId="28" fillId="0" borderId="67" xfId="1" applyFont="1" applyFill="1" applyBorder="1" applyProtection="1"/>
    <xf numFmtId="0" fontId="177" fillId="0" borderId="0" xfId="0" applyFont="1" applyFill="1" applyProtection="1"/>
    <xf numFmtId="4" fontId="28" fillId="0" borderId="0" xfId="1" applyNumberFormat="1" applyFont="1" applyFill="1" applyProtection="1"/>
    <xf numFmtId="0" fontId="28" fillId="0" borderId="72" xfId="1" applyFont="1" applyFill="1" applyBorder="1" applyProtection="1"/>
    <xf numFmtId="0" fontId="28" fillId="0" borderId="56" xfId="1" applyFont="1" applyFill="1" applyBorder="1" applyProtection="1"/>
    <xf numFmtId="0" fontId="28" fillId="0" borderId="73" xfId="1" applyFont="1" applyFill="1" applyBorder="1" applyProtection="1"/>
    <xf numFmtId="0" fontId="19" fillId="0" borderId="0" xfId="2" applyFont="1" applyFill="1" applyBorder="1" applyProtection="1"/>
    <xf numFmtId="0" fontId="19" fillId="0" borderId="0" xfId="2" applyFont="1" applyFill="1" applyBorder="1" applyAlignment="1" applyProtection="1">
      <alignment horizontal="center"/>
    </xf>
    <xf numFmtId="0" fontId="158" fillId="0" borderId="0" xfId="2" applyFont="1" applyFill="1" applyBorder="1" applyProtection="1"/>
    <xf numFmtId="1" fontId="158" fillId="0" borderId="0" xfId="2" applyNumberFormat="1" applyFont="1" applyFill="1" applyBorder="1" applyProtection="1"/>
    <xf numFmtId="1" fontId="19" fillId="0" borderId="0" xfId="2" applyNumberFormat="1" applyFont="1" applyFill="1" applyBorder="1" applyProtection="1"/>
    <xf numFmtId="0" fontId="19" fillId="0" borderId="0" xfId="2" applyFont="1" applyFill="1" applyBorder="1" applyAlignment="1" applyProtection="1">
      <alignment wrapText="1"/>
    </xf>
    <xf numFmtId="0" fontId="179" fillId="0" borderId="0" xfId="2" applyFont="1" applyFill="1" applyBorder="1" applyAlignment="1" applyProtection="1">
      <alignment vertical="center"/>
    </xf>
    <xf numFmtId="0" fontId="178" fillId="0" borderId="0" xfId="2" applyFont="1" applyFill="1" applyBorder="1" applyAlignment="1" applyProtection="1">
      <alignment vertical="top"/>
    </xf>
    <xf numFmtId="0" fontId="19" fillId="0" borderId="0" xfId="2" applyFont="1" applyFill="1" applyBorder="1" applyAlignment="1" applyProtection="1">
      <alignment vertical="center" wrapText="1"/>
    </xf>
    <xf numFmtId="1" fontId="159" fillId="0" borderId="0" xfId="2" applyNumberFormat="1" applyFont="1" applyFill="1" applyBorder="1" applyAlignment="1" applyProtection="1">
      <alignment horizontal="center" wrapText="1"/>
    </xf>
    <xf numFmtId="0" fontId="152" fillId="0" borderId="0" xfId="2" applyFont="1" applyFill="1" applyBorder="1" applyProtection="1"/>
    <xf numFmtId="0" fontId="152" fillId="0" borderId="0" xfId="2" applyFont="1" applyFill="1" applyBorder="1" applyAlignment="1" applyProtection="1">
      <alignment horizontal="center"/>
    </xf>
    <xf numFmtId="1" fontId="158" fillId="0" borderId="0" xfId="2" applyNumberFormat="1" applyFont="1" applyFill="1" applyBorder="1" applyProtection="1">
      <protection locked="0"/>
    </xf>
    <xf numFmtId="2" fontId="158" fillId="0" borderId="0" xfId="2" applyNumberFormat="1" applyFont="1" applyFill="1" applyBorder="1" applyProtection="1"/>
    <xf numFmtId="1" fontId="184" fillId="0" borderId="0" xfId="2" applyNumberFormat="1" applyFont="1" applyFill="1" applyBorder="1" applyProtection="1"/>
    <xf numFmtId="0" fontId="19" fillId="0" borderId="0" xfId="2" applyFont="1" applyFill="1" applyBorder="1" applyProtection="1">
      <protection locked="0" hidden="1"/>
    </xf>
    <xf numFmtId="0" fontId="19" fillId="0" borderId="0" xfId="2" applyFont="1" applyFill="1" applyBorder="1" applyAlignment="1" applyProtection="1">
      <alignment horizontal="left"/>
    </xf>
    <xf numFmtId="0" fontId="22" fillId="0" borderId="0" xfId="0" applyFont="1" applyFill="1" applyProtection="1">
      <protection locked="0" hidden="1"/>
    </xf>
    <xf numFmtId="0" fontId="22" fillId="0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alignment wrapText="1"/>
    </xf>
    <xf numFmtId="0" fontId="43" fillId="0" borderId="110" xfId="0" applyFont="1" applyFill="1" applyBorder="1" applyAlignment="1" applyProtection="1">
      <alignment horizontal="left" vertical="center"/>
    </xf>
    <xf numFmtId="0" fontId="43" fillId="0" borderId="115" xfId="0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left" vertical="center"/>
    </xf>
    <xf numFmtId="0" fontId="50" fillId="0" borderId="0" xfId="0" applyFont="1" applyFill="1" applyBorder="1" applyAlignment="1" applyProtection="1">
      <alignment horizontal="center" vertical="center"/>
    </xf>
    <xf numFmtId="2" fontId="22" fillId="0" borderId="0" xfId="0" applyNumberFormat="1" applyFont="1" applyFill="1" applyAlignment="1" applyProtection="1"/>
    <xf numFmtId="0" fontId="22" fillId="0" borderId="0" xfId="0" applyFont="1" applyFill="1" applyAlignment="1" applyProtection="1"/>
    <xf numFmtId="0" fontId="43" fillId="0" borderId="39" xfId="0" applyFont="1" applyFill="1" applyBorder="1" applyProtection="1"/>
    <xf numFmtId="0" fontId="43" fillId="0" borderId="112" xfId="0" applyFont="1" applyFill="1" applyBorder="1" applyProtection="1"/>
    <xf numFmtId="0" fontId="150" fillId="0" borderId="111" xfId="0" applyFont="1" applyFill="1" applyBorder="1" applyAlignment="1" applyProtection="1"/>
    <xf numFmtId="0" fontId="43" fillId="0" borderId="40" xfId="0" applyFont="1" applyFill="1" applyBorder="1" applyProtection="1"/>
    <xf numFmtId="0" fontId="43" fillId="0" borderId="0" xfId="0" applyFont="1" applyFill="1" applyBorder="1" applyProtection="1"/>
    <xf numFmtId="0" fontId="43" fillId="0" borderId="41" xfId="0" applyFont="1" applyFill="1" applyBorder="1" applyProtection="1"/>
    <xf numFmtId="16" fontId="50" fillId="0" borderId="50" xfId="0" applyNumberFormat="1" applyFont="1" applyFill="1" applyBorder="1" applyAlignment="1" applyProtection="1">
      <alignment horizontal="center" wrapText="1"/>
    </xf>
    <xf numFmtId="0" fontId="27" fillId="0" borderId="35" xfId="0" applyFont="1" applyFill="1" applyBorder="1" applyProtection="1">
      <protection hidden="1"/>
    </xf>
    <xf numFmtId="168" fontId="185" fillId="0" borderId="37" xfId="0" applyNumberFormat="1" applyFont="1" applyFill="1" applyBorder="1" applyProtection="1"/>
    <xf numFmtId="0" fontId="27" fillId="0" borderId="33" xfId="0" applyFont="1" applyFill="1" applyBorder="1" applyProtection="1"/>
    <xf numFmtId="2" fontId="27" fillId="0" borderId="33" xfId="0" applyNumberFormat="1" applyFont="1" applyFill="1" applyBorder="1" applyProtection="1"/>
    <xf numFmtId="164" fontId="27" fillId="0" borderId="33" xfId="0" applyNumberFormat="1" applyFont="1" applyFill="1" applyBorder="1" applyProtection="1"/>
    <xf numFmtId="165" fontId="27" fillId="0" borderId="35" xfId="0" applyNumberFormat="1" applyFont="1" applyFill="1" applyBorder="1" applyProtection="1"/>
    <xf numFmtId="0" fontId="27" fillId="0" borderId="35" xfId="0" applyFont="1" applyFill="1" applyBorder="1" applyProtection="1"/>
    <xf numFmtId="0" fontId="27" fillId="0" borderId="33" xfId="0" applyFont="1" applyFill="1" applyBorder="1" applyProtection="1">
      <protection hidden="1"/>
    </xf>
    <xf numFmtId="0" fontId="27" fillId="0" borderId="34" xfId="0" applyFont="1" applyFill="1" applyBorder="1" applyProtection="1"/>
    <xf numFmtId="167" fontId="22" fillId="0" borderId="0" xfId="0" applyNumberFormat="1" applyFont="1" applyFill="1" applyBorder="1" applyProtection="1"/>
    <xf numFmtId="0" fontId="27" fillId="0" borderId="0" xfId="0" applyFont="1" applyFill="1" applyBorder="1" applyProtection="1"/>
    <xf numFmtId="2" fontId="27" fillId="0" borderId="36" xfId="0" applyNumberFormat="1" applyFont="1" applyFill="1" applyBorder="1" applyProtection="1"/>
    <xf numFmtId="0" fontId="27" fillId="0" borderId="43" xfId="0" applyFont="1" applyFill="1" applyBorder="1" applyProtection="1"/>
    <xf numFmtId="0" fontId="27" fillId="0" borderId="42" xfId="0" applyFont="1" applyFill="1" applyBorder="1" applyProtection="1"/>
    <xf numFmtId="0" fontId="27" fillId="0" borderId="36" xfId="0" applyFont="1" applyFill="1" applyBorder="1" applyProtection="1"/>
    <xf numFmtId="0" fontId="22" fillId="0" borderId="0" xfId="0" applyFont="1" applyFill="1" applyAlignment="1" applyProtection="1">
      <alignment vertical="center"/>
    </xf>
    <xf numFmtId="165" fontId="27" fillId="0" borderId="36" xfId="0" applyNumberFormat="1" applyFont="1" applyFill="1" applyBorder="1" applyProtection="1"/>
    <xf numFmtId="2" fontId="27" fillId="0" borderId="43" xfId="0" applyNumberFormat="1" applyFont="1" applyFill="1" applyBorder="1" applyProtection="1"/>
    <xf numFmtId="165" fontId="27" fillId="0" borderId="42" xfId="0" applyNumberFormat="1" applyFont="1" applyFill="1" applyBorder="1" applyProtection="1"/>
    <xf numFmtId="1" fontId="25" fillId="0" borderId="49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vertical="center"/>
    </xf>
    <xf numFmtId="0" fontId="27" fillId="0" borderId="44" xfId="0" applyFont="1" applyFill="1" applyBorder="1" applyProtection="1"/>
    <xf numFmtId="0" fontId="27" fillId="0" borderId="45" xfId="0" applyFont="1" applyFill="1" applyBorder="1" applyProtection="1"/>
    <xf numFmtId="165" fontId="27" fillId="0" borderId="45" xfId="0" applyNumberFormat="1" applyFont="1" applyFill="1" applyBorder="1" applyProtection="1"/>
    <xf numFmtId="2" fontId="27" fillId="0" borderId="42" xfId="0" applyNumberFormat="1" applyFont="1" applyFill="1" applyBorder="1" applyProtection="1"/>
    <xf numFmtId="0" fontId="43" fillId="0" borderId="0" xfId="0" applyFont="1" applyFill="1" applyBorder="1" applyAlignment="1" applyProtection="1">
      <alignment horizontal="center" vertical="center"/>
    </xf>
    <xf numFmtId="165" fontId="27" fillId="0" borderId="33" xfId="0" applyNumberFormat="1" applyFont="1" applyFill="1" applyBorder="1" applyProtection="1"/>
    <xf numFmtId="0" fontId="22" fillId="0" borderId="74" xfId="0" applyFont="1" applyFill="1" applyBorder="1" applyAlignment="1" applyProtection="1"/>
    <xf numFmtId="0" fontId="22" fillId="0" borderId="75" xfId="0" applyFont="1" applyFill="1" applyBorder="1" applyAlignment="1" applyProtection="1"/>
    <xf numFmtId="166" fontId="27" fillId="0" borderId="0" xfId="0" applyNumberFormat="1" applyFont="1" applyFill="1" applyBorder="1" applyProtection="1"/>
    <xf numFmtId="0" fontId="22" fillId="0" borderId="96" xfId="0" applyFont="1" applyFill="1" applyBorder="1" applyAlignment="1" applyProtection="1"/>
    <xf numFmtId="0" fontId="22" fillId="0" borderId="80" xfId="0" applyFont="1" applyFill="1" applyBorder="1" applyAlignment="1" applyProtection="1"/>
    <xf numFmtId="0" fontId="27" fillId="0" borderId="38" xfId="0" applyFont="1" applyFill="1" applyBorder="1" applyProtection="1">
      <protection hidden="1"/>
    </xf>
    <xf numFmtId="0" fontId="27" fillId="0" borderId="44" xfId="0" applyFont="1" applyFill="1" applyBorder="1" applyAlignment="1" applyProtection="1"/>
    <xf numFmtId="0" fontId="27" fillId="0" borderId="75" xfId="0" applyFont="1" applyFill="1" applyBorder="1" applyAlignment="1" applyProtection="1"/>
    <xf numFmtId="2" fontId="27" fillId="0" borderId="37" xfId="0" applyNumberFormat="1" applyFont="1" applyFill="1" applyBorder="1" applyAlignment="1" applyProtection="1"/>
    <xf numFmtId="165" fontId="27" fillId="0" borderId="96" xfId="0" applyNumberFormat="1" applyFont="1" applyFill="1" applyBorder="1" applyAlignment="1" applyProtection="1"/>
    <xf numFmtId="0" fontId="27" fillId="0" borderId="80" xfId="0" applyFont="1" applyFill="1" applyBorder="1" applyAlignment="1" applyProtection="1"/>
    <xf numFmtId="1" fontId="27" fillId="0" borderId="37" xfId="0" applyNumberFormat="1" applyFont="1" applyFill="1" applyBorder="1" applyProtection="1"/>
    <xf numFmtId="0" fontId="43" fillId="0" borderId="38" xfId="0" applyFont="1" applyFill="1" applyBorder="1" applyProtection="1"/>
    <xf numFmtId="2" fontId="27" fillId="0" borderId="44" xfId="0" applyNumberFormat="1" applyFont="1" applyFill="1" applyBorder="1" applyAlignment="1" applyProtection="1"/>
    <xf numFmtId="0" fontId="27" fillId="0" borderId="96" xfId="0" applyFont="1" applyFill="1" applyBorder="1" applyAlignment="1" applyProtection="1"/>
    <xf numFmtId="1" fontId="27" fillId="0" borderId="36" xfId="0" applyNumberFormat="1" applyFont="1" applyFill="1" applyBorder="1" applyProtection="1"/>
    <xf numFmtId="1" fontId="27" fillId="0" borderId="0" xfId="0" applyNumberFormat="1" applyFont="1" applyFill="1" applyBorder="1" applyProtection="1"/>
    <xf numFmtId="165" fontId="27" fillId="0" borderId="34" xfId="0" applyNumberFormat="1" applyFont="1" applyFill="1" applyBorder="1" applyProtection="1"/>
    <xf numFmtId="165" fontId="27" fillId="0" borderId="38" xfId="0" applyNumberFormat="1" applyFont="1" applyFill="1" applyBorder="1" applyProtection="1"/>
    <xf numFmtId="0" fontId="27" fillId="0" borderId="34" xfId="0" applyFont="1" applyFill="1" applyBorder="1" applyProtection="1">
      <protection hidden="1"/>
    </xf>
    <xf numFmtId="1" fontId="27" fillId="0" borderId="44" xfId="0" applyNumberFormat="1" applyFont="1" applyFill="1" applyBorder="1" applyProtection="1"/>
    <xf numFmtId="165" fontId="27" fillId="0" borderId="0" xfId="0" applyNumberFormat="1" applyFont="1" applyFill="1" applyBorder="1" applyProtection="1"/>
    <xf numFmtId="0" fontId="27" fillId="0" borderId="0" xfId="0" applyFont="1" applyFill="1" applyBorder="1" applyProtection="1">
      <protection hidden="1"/>
    </xf>
    <xf numFmtId="1" fontId="22" fillId="0" borderId="0" xfId="0" applyNumberFormat="1" applyFont="1" applyFill="1" applyBorder="1" applyProtection="1"/>
    <xf numFmtId="0" fontId="185" fillId="0" borderId="34" xfId="0" applyFont="1" applyFill="1" applyBorder="1" applyProtection="1"/>
    <xf numFmtId="0" fontId="27" fillId="0" borderId="36" xfId="0" applyFont="1" applyFill="1" applyBorder="1" applyAlignment="1" applyProtection="1">
      <alignment horizontal="center"/>
    </xf>
    <xf numFmtId="0" fontId="27" fillId="0" borderId="42" xfId="0" applyFont="1" applyFill="1" applyBorder="1" applyAlignment="1" applyProtection="1">
      <alignment horizontal="center"/>
    </xf>
    <xf numFmtId="0" fontId="27" fillId="0" borderId="74" xfId="0" applyFont="1" applyFill="1" applyBorder="1" applyAlignment="1" applyProtection="1"/>
    <xf numFmtId="0" fontId="22" fillId="0" borderId="97" xfId="0" applyFont="1" applyFill="1" applyBorder="1" applyProtection="1"/>
    <xf numFmtId="0" fontId="27" fillId="0" borderId="68" xfId="0" applyFont="1" applyFill="1" applyBorder="1" applyAlignment="1" applyProtection="1"/>
    <xf numFmtId="0" fontId="27" fillId="0" borderId="98" xfId="0" applyFont="1" applyFill="1" applyBorder="1" applyProtection="1"/>
    <xf numFmtId="0" fontId="27" fillId="0" borderId="99" xfId="0" applyFont="1" applyFill="1" applyBorder="1" applyProtection="1"/>
    <xf numFmtId="0" fontId="27" fillId="0" borderId="100" xfId="0" applyFont="1" applyFill="1" applyBorder="1" applyProtection="1"/>
    <xf numFmtId="0" fontId="27" fillId="0" borderId="101" xfId="0" applyFont="1" applyFill="1" applyBorder="1" applyProtection="1"/>
    <xf numFmtId="0" fontId="22" fillId="0" borderId="63" xfId="0" applyFont="1" applyFill="1" applyBorder="1" applyAlignment="1" applyProtection="1"/>
    <xf numFmtId="20" fontId="22" fillId="0" borderId="0" xfId="0" applyNumberFormat="1" applyFont="1" applyFill="1" applyProtection="1"/>
    <xf numFmtId="0" fontId="45" fillId="0" borderId="102" xfId="0" applyFont="1" applyFill="1" applyBorder="1" applyAlignment="1" applyProtection="1">
      <alignment horizontal="left" vertical="center"/>
    </xf>
    <xf numFmtId="0" fontId="22" fillId="0" borderId="0" xfId="0" applyFont="1" applyFill="1" applyProtection="1"/>
    <xf numFmtId="0" fontId="54" fillId="0" borderId="0" xfId="3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2" fontId="50" fillId="0" borderId="94" xfId="0" applyNumberFormat="1" applyFont="1" applyFill="1" applyBorder="1" applyAlignment="1" applyProtection="1">
      <alignment horizontal="left" vertical="center"/>
    </xf>
    <xf numFmtId="2" fontId="50" fillId="0" borderId="95" xfId="0" applyNumberFormat="1" applyFont="1" applyFill="1" applyBorder="1" applyAlignment="1" applyProtection="1">
      <alignment horizontal="left" vertical="center"/>
    </xf>
    <xf numFmtId="1" fontId="50" fillId="0" borderId="0" xfId="0" applyNumberFormat="1" applyFont="1" applyFill="1" applyAlignment="1" applyProtection="1">
      <alignment horizontal="left" vertical="center"/>
    </xf>
    <xf numFmtId="0" fontId="135" fillId="0" borderId="94" xfId="4" applyFont="1" applyFill="1" applyBorder="1" applyAlignment="1" applyProtection="1">
      <alignment horizontal="left" vertical="center" wrapText="1"/>
    </xf>
    <xf numFmtId="1" fontId="50" fillId="0" borderId="0" xfId="0" applyNumberFormat="1" applyFont="1" applyFill="1" applyAlignment="1" applyProtection="1">
      <alignment horizontal="left" vertical="center" indent="4"/>
    </xf>
    <xf numFmtId="1" fontId="149" fillId="0" borderId="0" xfId="0" applyNumberFormat="1" applyFont="1" applyFill="1" applyAlignment="1" applyProtection="1">
      <alignment horizontal="center" vertical="center"/>
      <protection hidden="1"/>
    </xf>
    <xf numFmtId="1" fontId="149" fillId="0" borderId="0" xfId="0" applyNumberFormat="1" applyFont="1" applyFill="1" applyAlignment="1" applyProtection="1">
      <alignment horizontal="left" indent="6"/>
      <protection hidden="1"/>
    </xf>
    <xf numFmtId="1" fontId="149" fillId="0" borderId="0" xfId="0" applyNumberFormat="1" applyFont="1" applyFill="1" applyAlignment="1" applyProtection="1">
      <alignment horizontal="center"/>
      <protection hidden="1"/>
    </xf>
    <xf numFmtId="1" fontId="50" fillId="0" borderId="0" xfId="0" applyNumberFormat="1" applyFont="1" applyFill="1" applyAlignment="1" applyProtection="1">
      <alignment horizontal="center"/>
    </xf>
    <xf numFmtId="0" fontId="77" fillId="0" borderId="63" xfId="0" applyFont="1" applyFill="1" applyBorder="1" applyAlignment="1" applyProtection="1">
      <alignment horizontal="center" vertical="center"/>
    </xf>
    <xf numFmtId="0" fontId="43" fillId="0" borderId="94" xfId="0" applyFont="1" applyFill="1" applyBorder="1" applyAlignment="1" applyProtection="1">
      <alignment horizontal="left" vertical="center"/>
    </xf>
    <xf numFmtId="0" fontId="43" fillId="0" borderId="105" xfId="0" applyFont="1" applyFill="1" applyBorder="1" applyAlignment="1" applyProtection="1">
      <alignment horizontal="left" vertical="center"/>
    </xf>
    <xf numFmtId="0" fontId="43" fillId="0" borderId="93" xfId="0" applyFont="1" applyFill="1" applyBorder="1" applyAlignment="1" applyProtection="1">
      <alignment horizontal="center" vertical="center"/>
    </xf>
    <xf numFmtId="0" fontId="43" fillId="0" borderId="94" xfId="0" applyFont="1" applyFill="1" applyBorder="1" applyAlignment="1" applyProtection="1">
      <alignment horizontal="center" vertical="center"/>
    </xf>
    <xf numFmtId="0" fontId="43" fillId="0" borderId="95" xfId="0" applyFont="1" applyFill="1" applyBorder="1" applyAlignment="1" applyProtection="1">
      <alignment horizontal="center" vertical="center"/>
    </xf>
    <xf numFmtId="1" fontId="50" fillId="0" borderId="0" xfId="0" applyNumberFormat="1" applyFont="1" applyFill="1" applyAlignment="1" applyProtection="1">
      <alignment horizontal="left" vertical="center" indent="6"/>
      <protection hidden="1"/>
    </xf>
    <xf numFmtId="0" fontId="75" fillId="7" borderId="147" xfId="4" applyFont="1" applyFill="1" applyBorder="1" applyAlignment="1" applyProtection="1">
      <alignment horizontal="center" vertical="center" wrapText="1"/>
    </xf>
    <xf numFmtId="0" fontId="75" fillId="7" borderId="0" xfId="4" applyFont="1" applyFill="1" applyBorder="1" applyAlignment="1" applyProtection="1">
      <alignment horizontal="center" vertical="center" wrapText="1"/>
    </xf>
    <xf numFmtId="0" fontId="75" fillId="7" borderId="152" xfId="4" applyFont="1" applyFill="1" applyBorder="1" applyAlignment="1" applyProtection="1">
      <alignment horizontal="center" vertical="center" wrapText="1"/>
    </xf>
    <xf numFmtId="1" fontId="136" fillId="7" borderId="147" xfId="0" applyNumberFormat="1" applyFont="1" applyFill="1" applyBorder="1" applyAlignment="1" applyProtection="1">
      <alignment horizontal="center" vertical="top" wrapText="1"/>
    </xf>
    <xf numFmtId="1" fontId="136" fillId="7" borderId="0" xfId="0" applyNumberFormat="1" applyFont="1" applyFill="1" applyBorder="1" applyAlignment="1" applyProtection="1">
      <alignment horizontal="center" vertical="top" wrapText="1"/>
    </xf>
    <xf numFmtId="1" fontId="136" fillId="7" borderId="149" xfId="0" applyNumberFormat="1" applyFont="1" applyFill="1" applyBorder="1" applyAlignment="1" applyProtection="1">
      <alignment horizontal="center" vertical="center"/>
    </xf>
    <xf numFmtId="1" fontId="136" fillId="7" borderId="0" xfId="0" applyNumberFormat="1" applyFont="1" applyFill="1" applyBorder="1" applyAlignment="1" applyProtection="1">
      <alignment horizontal="center" vertical="center"/>
    </xf>
    <xf numFmtId="1" fontId="136" fillId="7" borderId="151" xfId="0" applyNumberFormat="1" applyFont="1" applyFill="1" applyBorder="1" applyAlignment="1" applyProtection="1">
      <alignment horizontal="center" vertical="center"/>
    </xf>
    <xf numFmtId="1" fontId="136" fillId="7" borderId="152" xfId="0" applyNumberFormat="1" applyFont="1" applyFill="1" applyBorder="1" applyAlignment="1" applyProtection="1">
      <alignment horizontal="center" vertical="center"/>
    </xf>
    <xf numFmtId="1" fontId="83" fillId="7" borderId="0" xfId="0" applyNumberFormat="1" applyFont="1" applyFill="1" applyBorder="1" applyAlignment="1" applyProtection="1">
      <alignment horizontal="center"/>
    </xf>
    <xf numFmtId="1" fontId="83" fillId="7" borderId="152" xfId="0" applyNumberFormat="1" applyFont="1" applyFill="1" applyBorder="1" applyAlignment="1" applyProtection="1">
      <alignment horizontal="center"/>
    </xf>
    <xf numFmtId="1" fontId="75" fillId="7" borderId="147" xfId="0" applyNumberFormat="1" applyFont="1" applyFill="1" applyBorder="1" applyAlignment="1" applyProtection="1">
      <alignment horizontal="left"/>
    </xf>
    <xf numFmtId="1" fontId="75" fillId="7" borderId="0" xfId="0" applyNumberFormat="1" applyFont="1" applyFill="1" applyBorder="1" applyAlignment="1" applyProtection="1">
      <alignment horizontal="left"/>
    </xf>
    <xf numFmtId="1" fontId="75" fillId="7" borderId="152" xfId="0" applyNumberFormat="1" applyFont="1" applyFill="1" applyBorder="1" applyAlignment="1" applyProtection="1">
      <alignment horizontal="left"/>
    </xf>
    <xf numFmtId="1" fontId="69" fillId="7" borderId="147" xfId="0" applyNumberFormat="1" applyFont="1" applyFill="1" applyBorder="1" applyAlignment="1" applyProtection="1">
      <alignment horizontal="center"/>
    </xf>
    <xf numFmtId="1" fontId="69" fillId="7" borderId="0" xfId="0" applyNumberFormat="1" applyFont="1" applyFill="1" applyBorder="1" applyAlignment="1" applyProtection="1">
      <alignment horizontal="center"/>
    </xf>
    <xf numFmtId="1" fontId="69" fillId="7" borderId="152" xfId="0" applyNumberFormat="1" applyFont="1" applyFill="1" applyBorder="1" applyAlignment="1" applyProtection="1">
      <alignment horizontal="center"/>
    </xf>
    <xf numFmtId="0" fontId="75" fillId="7" borderId="147" xfId="4" applyFont="1" applyFill="1" applyBorder="1" applyAlignment="1" applyProtection="1">
      <alignment horizontal="left" wrapText="1"/>
    </xf>
    <xf numFmtId="0" fontId="75" fillId="7" borderId="0" xfId="4" applyFont="1" applyFill="1" applyBorder="1" applyAlignment="1" applyProtection="1">
      <alignment horizontal="left" wrapText="1"/>
    </xf>
    <xf numFmtId="0" fontId="75" fillId="7" borderId="152" xfId="4" applyFont="1" applyFill="1" applyBorder="1" applyAlignment="1" applyProtection="1">
      <alignment horizontal="left" wrapText="1"/>
    </xf>
    <xf numFmtId="0" fontId="29" fillId="7" borderId="147" xfId="4" applyFont="1" applyFill="1" applyBorder="1" applyAlignment="1" applyProtection="1">
      <alignment horizontal="center" wrapText="1"/>
    </xf>
    <xf numFmtId="0" fontId="29" fillId="7" borderId="0" xfId="4" applyFont="1" applyFill="1" applyBorder="1" applyAlignment="1" applyProtection="1">
      <alignment horizontal="center" wrapText="1"/>
    </xf>
    <xf numFmtId="0" fontId="29" fillId="7" borderId="152" xfId="4" applyFont="1" applyFill="1" applyBorder="1" applyAlignment="1" applyProtection="1">
      <alignment horizontal="center" wrapText="1"/>
    </xf>
    <xf numFmtId="1" fontId="144" fillId="0" borderId="0" xfId="0" applyNumberFormat="1" applyFont="1" applyFill="1" applyAlignment="1" applyProtection="1">
      <alignment horizontal="left" vertical="center" indent="8"/>
    </xf>
    <xf numFmtId="0" fontId="27" fillId="0" borderId="0" xfId="4" applyFont="1" applyFill="1" applyBorder="1" applyAlignment="1" applyProtection="1">
      <alignment horizontal="left"/>
    </xf>
    <xf numFmtId="0" fontId="138" fillId="0" borderId="0" xfId="4" applyFont="1" applyFill="1" applyAlignment="1">
      <alignment horizontal="left" indent="3"/>
    </xf>
    <xf numFmtId="0" fontId="75" fillId="7" borderId="147" xfId="4" applyFont="1" applyFill="1" applyBorder="1" applyAlignment="1" applyProtection="1">
      <alignment horizontal="left" vertical="center" wrapText="1"/>
    </xf>
    <xf numFmtId="0" fontId="75" fillId="7" borderId="0" xfId="4" applyFont="1" applyFill="1" applyBorder="1" applyAlignment="1" applyProtection="1">
      <alignment horizontal="left" vertical="center" wrapText="1"/>
    </xf>
    <xf numFmtId="0" fontId="49" fillId="0" borderId="0" xfId="4" applyFont="1" applyFill="1" applyBorder="1" applyAlignment="1" applyProtection="1">
      <alignment horizontal="left" vertical="center" wrapText="1"/>
    </xf>
    <xf numFmtId="0" fontId="49" fillId="0" borderId="0" xfId="5" applyFont="1" applyBorder="1" applyAlignment="1" applyProtection="1">
      <alignment horizontal="left" vertical="top" wrapText="1"/>
    </xf>
    <xf numFmtId="0" fontId="146" fillId="0" borderId="0" xfId="0" applyFont="1" applyFill="1" applyAlignment="1" applyProtection="1">
      <alignment horizontal="right"/>
    </xf>
    <xf numFmtId="1" fontId="61" fillId="5" borderId="0" xfId="0" applyNumberFormat="1" applyFont="1" applyFill="1" applyAlignment="1" applyProtection="1">
      <alignment horizontal="center"/>
      <protection locked="0"/>
    </xf>
    <xf numFmtId="1" fontId="61" fillId="0" borderId="0" xfId="0" applyNumberFormat="1" applyFont="1" applyFill="1" applyAlignment="1" applyProtection="1">
      <alignment horizontal="center"/>
    </xf>
    <xf numFmtId="0" fontId="147" fillId="0" borderId="0" xfId="4" applyFont="1" applyFill="1" applyBorder="1" applyAlignment="1" applyProtection="1">
      <alignment horizontal="left" wrapText="1"/>
    </xf>
    <xf numFmtId="0" fontId="147" fillId="0" borderId="56" xfId="4" applyFont="1" applyFill="1" applyBorder="1" applyAlignment="1" applyProtection="1">
      <alignment horizontal="left" wrapText="1"/>
    </xf>
    <xf numFmtId="1" fontId="137" fillId="0" borderId="0" xfId="4" applyNumberFormat="1" applyFont="1" applyFill="1" applyBorder="1" applyAlignment="1" applyProtection="1">
      <alignment horizontal="center"/>
    </xf>
    <xf numFmtId="1" fontId="137" fillId="0" borderId="56" xfId="4" applyNumberFormat="1" applyFont="1" applyFill="1" applyBorder="1" applyAlignment="1" applyProtection="1">
      <alignment horizontal="center"/>
    </xf>
    <xf numFmtId="1" fontId="50" fillId="0" borderId="0" xfId="0" applyNumberFormat="1" applyFont="1" applyFill="1" applyAlignment="1" applyProtection="1">
      <alignment horizontal="center" vertical="center" wrapText="1"/>
    </xf>
    <xf numFmtId="0" fontId="135" fillId="0" borderId="0" xfId="0" applyFont="1" applyFill="1" applyAlignment="1" applyProtection="1">
      <alignment horizontal="left" vertical="top" wrapText="1"/>
    </xf>
    <xf numFmtId="0" fontId="76" fillId="0" borderId="86" xfId="4" applyFont="1" applyFill="1" applyBorder="1" applyAlignment="1" applyProtection="1">
      <alignment horizontal="center" vertical="center"/>
    </xf>
    <xf numFmtId="0" fontId="76" fillId="0" borderId="154" xfId="4" applyFont="1" applyFill="1" applyBorder="1" applyAlignment="1" applyProtection="1">
      <alignment horizontal="center" vertical="center"/>
    </xf>
    <xf numFmtId="0" fontId="76" fillId="0" borderId="56" xfId="4" applyFont="1" applyFill="1" applyBorder="1" applyAlignment="1" applyProtection="1">
      <alignment horizontal="center" vertical="center"/>
    </xf>
    <xf numFmtId="0" fontId="76" fillId="0" borderId="73" xfId="4" applyFont="1" applyFill="1" applyBorder="1" applyAlignment="1" applyProtection="1">
      <alignment horizontal="center" vertical="center"/>
    </xf>
    <xf numFmtId="0" fontId="27" fillId="0" borderId="86" xfId="4" applyFont="1" applyFill="1" applyBorder="1" applyAlignment="1" applyProtection="1">
      <alignment horizontal="center" vertical="center"/>
    </xf>
    <xf numFmtId="0" fontId="27" fillId="0" borderId="154" xfId="4" applyFont="1" applyFill="1" applyBorder="1" applyAlignment="1" applyProtection="1">
      <alignment horizontal="center" vertical="center"/>
    </xf>
    <xf numFmtId="0" fontId="27" fillId="0" borderId="56" xfId="4" applyFont="1" applyFill="1" applyBorder="1" applyAlignment="1" applyProtection="1">
      <alignment horizontal="center" vertical="center"/>
    </xf>
    <xf numFmtId="0" fontId="27" fillId="0" borderId="73" xfId="4" applyFont="1" applyFill="1" applyBorder="1" applyAlignment="1" applyProtection="1">
      <alignment horizontal="center" vertical="center"/>
    </xf>
    <xf numFmtId="0" fontId="129" fillId="0" borderId="43" xfId="4" applyFont="1" applyFill="1" applyBorder="1" applyAlignment="1" applyProtection="1">
      <alignment horizontal="center" vertical="center" wrapText="1"/>
    </xf>
    <xf numFmtId="1" fontId="49" fillId="0" borderId="0" xfId="4" applyNumberFormat="1" applyFont="1" applyFill="1" applyBorder="1" applyAlignment="1" applyProtection="1">
      <alignment horizontal="left" vertical="center"/>
    </xf>
    <xf numFmtId="1" fontId="133" fillId="0" borderId="0" xfId="4" applyNumberFormat="1" applyFont="1" applyFill="1" applyBorder="1" applyAlignment="1" applyProtection="1">
      <alignment horizontal="left" indent="3"/>
    </xf>
    <xf numFmtId="1" fontId="146" fillId="0" borderId="0" xfId="0" applyNumberFormat="1" applyFont="1" applyFill="1" applyAlignment="1" applyProtection="1">
      <alignment horizontal="left" vertical="center" indent="6"/>
    </xf>
    <xf numFmtId="1" fontId="50" fillId="0" borderId="0" xfId="0" applyNumberFormat="1" applyFont="1" applyFill="1" applyAlignment="1" applyProtection="1">
      <alignment horizontal="left" indent="6"/>
      <protection hidden="1"/>
    </xf>
    <xf numFmtId="1" fontId="149" fillId="0" borderId="0" xfId="0" applyNumberFormat="1" applyFont="1" applyFill="1" applyAlignment="1" applyProtection="1">
      <alignment horizontal="left" indent="6"/>
    </xf>
    <xf numFmtId="0" fontId="130" fillId="0" borderId="0" xfId="4" applyFont="1" applyFill="1" applyBorder="1" applyAlignment="1" applyProtection="1">
      <alignment horizontal="left" vertical="center" indent="6"/>
    </xf>
    <xf numFmtId="0" fontId="130" fillId="0" borderId="0" xfId="4" applyFont="1" applyFill="1" applyBorder="1" applyAlignment="1" applyProtection="1">
      <alignment horizontal="center"/>
    </xf>
    <xf numFmtId="1" fontId="139" fillId="0" borderId="0" xfId="4" applyNumberFormat="1" applyFont="1" applyFill="1" applyBorder="1" applyAlignment="1" applyProtection="1">
      <alignment horizontal="left" vertical="center" indent="2"/>
    </xf>
    <xf numFmtId="1" fontId="48" fillId="0" borderId="0" xfId="0" applyNumberFormat="1" applyFont="1" applyFill="1" applyAlignment="1" applyProtection="1">
      <alignment horizontal="center" vertical="top"/>
    </xf>
    <xf numFmtId="1" fontId="48" fillId="0" borderId="0" xfId="0" applyNumberFormat="1" applyFont="1" applyFill="1" applyAlignment="1" applyProtection="1">
      <alignment horizontal="left" vertical="top"/>
    </xf>
    <xf numFmtId="0" fontId="76" fillId="0" borderId="86" xfId="0" applyFont="1" applyFill="1" applyBorder="1" applyAlignment="1" applyProtection="1">
      <alignment horizontal="left" vertical="center"/>
    </xf>
    <xf numFmtId="1" fontId="61" fillId="0" borderId="0" xfId="0" applyNumberFormat="1" applyFont="1" applyFill="1" applyAlignment="1" applyProtection="1">
      <alignment horizontal="right" vertical="center" indent="5"/>
    </xf>
    <xf numFmtId="1" fontId="48" fillId="0" borderId="0" xfId="0" applyNumberFormat="1" applyFont="1" applyFill="1" applyAlignment="1" applyProtection="1">
      <alignment horizontal="center"/>
    </xf>
    <xf numFmtId="1" fontId="61" fillId="0" borderId="0" xfId="0" applyNumberFormat="1" applyFont="1" applyFill="1" applyAlignment="1" applyProtection="1">
      <alignment horizontal="right" vertical="center"/>
    </xf>
    <xf numFmtId="0" fontId="83" fillId="7" borderId="0" xfId="0" applyFont="1" applyFill="1" applyBorder="1" applyAlignment="1" applyProtection="1">
      <alignment horizontal="center" vertical="center"/>
    </xf>
    <xf numFmtId="1" fontId="61" fillId="0" borderId="0" xfId="0" applyNumberFormat="1" applyFont="1" applyFill="1" applyAlignment="1" applyProtection="1">
      <alignment horizontal="right" indent="3"/>
    </xf>
    <xf numFmtId="1" fontId="61" fillId="0" borderId="0" xfId="0" applyNumberFormat="1" applyFont="1" applyFill="1" applyAlignment="1" applyProtection="1">
      <alignment horizontal="right" indent="4"/>
    </xf>
    <xf numFmtId="1" fontId="61" fillId="0" borderId="0" xfId="0" applyNumberFormat="1" applyFont="1" applyFill="1" applyAlignment="1" applyProtection="1">
      <alignment horizontal="left" vertical="center" indent="7"/>
    </xf>
    <xf numFmtId="1" fontId="61" fillId="0" borderId="0" xfId="0" applyNumberFormat="1" applyFont="1" applyFill="1" applyAlignment="1" applyProtection="1">
      <alignment horizontal="left" vertical="top" indent="3"/>
    </xf>
    <xf numFmtId="1" fontId="61" fillId="0" borderId="0" xfId="0" applyNumberFormat="1" applyFont="1" applyFill="1" applyAlignment="1" applyProtection="1">
      <alignment horizontal="left" vertical="top" indent="12"/>
    </xf>
    <xf numFmtId="1" fontId="61" fillId="0" borderId="0" xfId="0" applyNumberFormat="1" applyFont="1" applyFill="1" applyAlignment="1" applyProtection="1">
      <alignment horizontal="center" vertical="center"/>
    </xf>
    <xf numFmtId="1" fontId="61" fillId="0" borderId="0" xfId="0" applyNumberFormat="1" applyFont="1" applyFill="1" applyAlignment="1" applyProtection="1">
      <alignment horizontal="left" vertical="center" indent="12"/>
    </xf>
    <xf numFmtId="0" fontId="69" fillId="7" borderId="0" xfId="0" applyFont="1" applyFill="1" applyAlignment="1" applyProtection="1">
      <alignment horizontal="left"/>
    </xf>
    <xf numFmtId="0" fontId="80" fillId="0" borderId="0" xfId="0" applyFont="1" applyFill="1" applyBorder="1" applyAlignment="1" applyProtection="1">
      <alignment horizontal="center" vertical="center"/>
    </xf>
    <xf numFmtId="1" fontId="78" fillId="0" borderId="0" xfId="0" applyNumberFormat="1" applyFont="1" applyFill="1" applyAlignment="1" applyProtection="1">
      <alignment horizontal="right" vertical="center"/>
    </xf>
    <xf numFmtId="0" fontId="78" fillId="0" borderId="0" xfId="0" applyFont="1" applyFill="1" applyAlignment="1" applyProtection="1">
      <alignment horizontal="right" vertical="center"/>
    </xf>
    <xf numFmtId="1" fontId="76" fillId="0" borderId="0" xfId="0" applyNumberFormat="1" applyFont="1" applyFill="1" applyAlignment="1" applyProtection="1">
      <alignment horizontal="left" vertical="center"/>
    </xf>
    <xf numFmtId="0" fontId="76" fillId="0" borderId="0" xfId="0" applyFont="1" applyFill="1" applyAlignment="1" applyProtection="1">
      <alignment horizontal="left" vertical="center"/>
    </xf>
    <xf numFmtId="0" fontId="75" fillId="7" borderId="0" xfId="0" applyFont="1" applyFill="1" applyAlignment="1" applyProtection="1">
      <alignment horizontal="center"/>
    </xf>
    <xf numFmtId="0" fontId="69" fillId="7" borderId="0" xfId="0" applyFont="1" applyFill="1" applyBorder="1" applyAlignment="1" applyProtection="1">
      <alignment horizontal="center"/>
    </xf>
    <xf numFmtId="0" fontId="55" fillId="5" borderId="0" xfId="0" applyFont="1" applyFill="1" applyAlignment="1" applyProtection="1">
      <alignment horizontal="right" vertical="center"/>
      <protection locked="0"/>
    </xf>
    <xf numFmtId="1" fontId="37" fillId="0" borderId="0" xfId="0" applyNumberFormat="1" applyFont="1" applyFill="1" applyBorder="1" applyAlignment="1" applyProtection="1">
      <alignment horizontal="left" vertical="center" indent="1"/>
    </xf>
    <xf numFmtId="0" fontId="45" fillId="0" borderId="90" xfId="0" applyFont="1" applyFill="1" applyBorder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horizontal="left" indent="7"/>
    </xf>
    <xf numFmtId="1" fontId="40" fillId="0" borderId="0" xfId="0" applyNumberFormat="1" applyFont="1" applyFill="1" applyAlignment="1" applyProtection="1">
      <alignment horizontal="center" vertical="center"/>
    </xf>
    <xf numFmtId="0" fontId="43" fillId="0" borderId="102" xfId="0" applyFont="1" applyFill="1" applyBorder="1" applyAlignment="1" applyProtection="1">
      <alignment horizontal="left" vertical="center"/>
    </xf>
    <xf numFmtId="0" fontId="43" fillId="0" borderId="104" xfId="0" applyFont="1" applyFill="1" applyBorder="1" applyAlignment="1" applyProtection="1">
      <alignment horizontal="left" vertical="center"/>
    </xf>
    <xf numFmtId="0" fontId="45" fillId="0" borderId="93" xfId="0" applyFont="1" applyFill="1" applyBorder="1" applyAlignment="1" applyProtection="1">
      <alignment horizontal="center" vertical="center"/>
    </xf>
    <xf numFmtId="0" fontId="45" fillId="0" borderId="94" xfId="0" applyFont="1" applyFill="1" applyBorder="1" applyAlignment="1" applyProtection="1">
      <alignment horizontal="center" vertical="center"/>
    </xf>
    <xf numFmtId="1" fontId="38" fillId="7" borderId="0" xfId="0" applyNumberFormat="1" applyFont="1" applyFill="1" applyBorder="1" applyAlignment="1" applyProtection="1">
      <alignment horizontal="left" vertical="center" indent="5"/>
    </xf>
    <xf numFmtId="1" fontId="37" fillId="0" borderId="0" xfId="0" applyNumberFormat="1" applyFont="1" applyFill="1" applyBorder="1" applyAlignment="1" applyProtection="1">
      <alignment horizontal="center" vertical="center"/>
    </xf>
    <xf numFmtId="1" fontId="37" fillId="0" borderId="0" xfId="0" applyNumberFormat="1" applyFont="1" applyFill="1" applyBorder="1" applyAlignment="1" applyProtection="1">
      <alignment horizontal="left" indent="1"/>
    </xf>
    <xf numFmtId="0" fontId="77" fillId="0" borderId="0" xfId="0" applyFont="1" applyFill="1" applyBorder="1" applyAlignment="1" applyProtection="1">
      <alignment horizontal="left" vertical="center"/>
    </xf>
    <xf numFmtId="0" fontId="45" fillId="0" borderId="102" xfId="0" applyFont="1" applyFill="1" applyBorder="1" applyAlignment="1" applyProtection="1">
      <alignment horizontal="left" vertical="center"/>
    </xf>
    <xf numFmtId="0" fontId="55" fillId="0" borderId="0" xfId="0" applyFont="1" applyFill="1" applyAlignment="1" applyProtection="1">
      <alignment horizontal="center" vertical="center" textRotation="90"/>
    </xf>
    <xf numFmtId="1" fontId="37" fillId="0" borderId="0" xfId="0" applyNumberFormat="1" applyFont="1" applyFill="1" applyBorder="1" applyAlignment="1" applyProtection="1">
      <alignment horizontal="left" vertical="center" indent="6"/>
    </xf>
    <xf numFmtId="1" fontId="37" fillId="0" borderId="0" xfId="0" applyNumberFormat="1" applyFont="1" applyFill="1" applyBorder="1" applyAlignment="1" applyProtection="1">
      <alignment horizontal="left" vertical="center"/>
    </xf>
    <xf numFmtId="1" fontId="53" fillId="0" borderId="0" xfId="0" applyNumberFormat="1" applyFont="1" applyFill="1" applyAlignment="1" applyProtection="1">
      <alignment horizontal="left" indent="2"/>
      <protection hidden="1"/>
    </xf>
    <xf numFmtId="1" fontId="37" fillId="0" borderId="0" xfId="0" applyNumberFormat="1" applyFont="1" applyFill="1" applyBorder="1" applyAlignment="1" applyProtection="1">
      <alignment horizontal="left" vertical="center" indent="5"/>
    </xf>
    <xf numFmtId="1" fontId="37" fillId="9" borderId="0" xfId="0" applyNumberFormat="1" applyFont="1" applyFill="1" applyBorder="1" applyAlignment="1" applyProtection="1">
      <alignment horizontal="left" vertical="center" indent="5"/>
    </xf>
    <xf numFmtId="1" fontId="37" fillId="0" borderId="0" xfId="0" applyNumberFormat="1" applyFont="1" applyFill="1" applyBorder="1" applyAlignment="1" applyProtection="1">
      <alignment horizontal="left" indent="5"/>
    </xf>
    <xf numFmtId="1" fontId="51" fillId="0" borderId="0" xfId="0" applyNumberFormat="1" applyFont="1" applyFill="1" applyBorder="1" applyAlignment="1" applyProtection="1">
      <alignment horizontal="left" vertical="center" indent="5"/>
    </xf>
    <xf numFmtId="1" fontId="37" fillId="0" borderId="0" xfId="0" applyNumberFormat="1" applyFont="1" applyFill="1" applyBorder="1" applyAlignment="1" applyProtection="1">
      <alignment horizontal="left" indent="4"/>
    </xf>
    <xf numFmtId="1" fontId="38" fillId="7" borderId="0" xfId="0" applyNumberFormat="1" applyFont="1" applyFill="1" applyBorder="1" applyAlignment="1" applyProtection="1">
      <alignment horizontal="right" vertical="center" indent="2"/>
    </xf>
    <xf numFmtId="2" fontId="40" fillId="0" borderId="0" xfId="0" applyNumberFormat="1" applyFont="1" applyFill="1" applyAlignment="1" applyProtection="1">
      <alignment horizontal="center" vertical="center" textRotation="90"/>
    </xf>
    <xf numFmtId="1" fontId="52" fillId="0" borderId="0" xfId="0" applyNumberFormat="1" applyFont="1" applyFill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vertical="center"/>
    </xf>
    <xf numFmtId="1" fontId="37" fillId="8" borderId="0" xfId="0" applyNumberFormat="1" applyFont="1" applyFill="1" applyBorder="1" applyAlignment="1" applyProtection="1">
      <alignment horizontal="left" vertical="center" indent="6"/>
    </xf>
    <xf numFmtId="1" fontId="37" fillId="0" borderId="0" xfId="0" applyNumberFormat="1" applyFont="1" applyFill="1" applyBorder="1" applyAlignment="1" applyProtection="1">
      <alignment horizontal="left" vertical="top" indent="5"/>
    </xf>
    <xf numFmtId="1" fontId="37" fillId="0" borderId="0" xfId="0" applyNumberFormat="1" applyFont="1" applyFill="1" applyBorder="1" applyAlignment="1" applyProtection="1">
      <alignment horizontal="left" vertical="center" indent="2"/>
    </xf>
    <xf numFmtId="0" fontId="71" fillId="0" borderId="0" xfId="0" applyFont="1" applyFill="1" applyAlignment="1" applyProtection="1">
      <alignment horizontal="left" vertical="center" wrapText="1" indent="7"/>
    </xf>
    <xf numFmtId="0" fontId="57" fillId="7" borderId="0" xfId="0" applyFont="1" applyFill="1" applyAlignment="1" applyProtection="1">
      <alignment horizontal="center"/>
    </xf>
    <xf numFmtId="0" fontId="20" fillId="7" borderId="0" xfId="0" applyFont="1" applyFill="1" applyAlignment="1" applyProtection="1">
      <alignment horizontal="center"/>
    </xf>
    <xf numFmtId="0" fontId="56" fillId="7" borderId="109" xfId="3" applyFont="1" applyFill="1" applyBorder="1" applyAlignment="1" applyProtection="1">
      <alignment horizontal="center"/>
    </xf>
    <xf numFmtId="0" fontId="44" fillId="5" borderId="0" xfId="0" applyFont="1" applyFill="1" applyAlignment="1" applyProtection="1">
      <alignment horizontal="center"/>
      <protection locked="0"/>
    </xf>
    <xf numFmtId="1" fontId="70" fillId="5" borderId="113" xfId="0" applyNumberFormat="1" applyFont="1" applyFill="1" applyBorder="1" applyAlignment="1" applyProtection="1">
      <alignment horizontal="center" vertical="center" wrapText="1"/>
      <protection locked="0"/>
    </xf>
    <xf numFmtId="1" fontId="70" fillId="5" borderId="114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 applyProtection="1">
      <alignment horizontal="center"/>
    </xf>
    <xf numFmtId="0" fontId="69" fillId="7" borderId="0" xfId="0" applyFont="1" applyFill="1" applyBorder="1" applyAlignment="1" applyProtection="1">
      <alignment horizontal="left" vertical="center"/>
    </xf>
    <xf numFmtId="1" fontId="70" fillId="5" borderId="117" xfId="0" applyNumberFormat="1" applyFont="1" applyFill="1" applyBorder="1" applyAlignment="1" applyProtection="1">
      <alignment horizontal="center" vertical="center" wrapText="1"/>
      <protection locked="0"/>
    </xf>
    <xf numFmtId="1" fontId="7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7" borderId="0" xfId="0" applyFont="1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right" vertical="center" wrapText="1"/>
    </xf>
    <xf numFmtId="0" fontId="6" fillId="7" borderId="118" xfId="0" applyFont="1" applyFill="1" applyBorder="1" applyAlignment="1" applyProtection="1">
      <alignment horizontal="right" vertical="center" wrapText="1"/>
    </xf>
    <xf numFmtId="0" fontId="49" fillId="0" borderId="0" xfId="0" applyFont="1" applyFill="1" applyAlignment="1" applyProtection="1">
      <alignment horizontal="left" vertical="top"/>
    </xf>
    <xf numFmtId="0" fontId="61" fillId="0" borderId="0" xfId="0" applyFont="1" applyFill="1" applyAlignment="1" applyProtection="1">
      <alignment horizontal="left" vertical="top"/>
    </xf>
    <xf numFmtId="0" fontId="61" fillId="0" borderId="0" xfId="3" applyFont="1" applyFill="1" applyAlignment="1" applyProtection="1">
      <alignment horizontal="left" vertical="top"/>
    </xf>
    <xf numFmtId="0" fontId="157" fillId="7" borderId="0" xfId="0" applyFont="1" applyFill="1" applyAlignment="1" applyProtection="1">
      <alignment horizontal="center"/>
      <protection locked="0" hidden="1"/>
    </xf>
    <xf numFmtId="1" fontId="37" fillId="0" borderId="0" xfId="0" applyNumberFormat="1" applyFont="1" applyFill="1" applyBorder="1" applyAlignment="1" applyProtection="1">
      <alignment horizontal="left" vertical="top" indent="2"/>
    </xf>
    <xf numFmtId="0" fontId="61" fillId="0" borderId="0" xfId="0" applyFont="1" applyFill="1" applyAlignment="1" applyProtection="1">
      <alignment horizontal="left"/>
    </xf>
    <xf numFmtId="0" fontId="61" fillId="0" borderId="0" xfId="0" applyFont="1" applyFill="1" applyAlignment="1" applyProtection="1">
      <alignment horizontal="left" vertical="center"/>
    </xf>
    <xf numFmtId="0" fontId="29" fillId="7" borderId="0" xfId="0" applyFont="1" applyFill="1" applyAlignment="1" applyProtection="1">
      <alignment horizontal="center" vertical="top"/>
    </xf>
    <xf numFmtId="172" fontId="35" fillId="0" borderId="0" xfId="0" applyNumberFormat="1" applyFont="1" applyFill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horizontal="left" indent="2"/>
    </xf>
    <xf numFmtId="1" fontId="37" fillId="0" borderId="0" xfId="0" applyNumberFormat="1" applyFont="1" applyFill="1" applyBorder="1" applyAlignment="1" applyProtection="1">
      <alignment horizontal="left" vertical="center" indent="7"/>
    </xf>
    <xf numFmtId="1" fontId="39" fillId="0" borderId="0" xfId="0" applyNumberFormat="1" applyFont="1" applyFill="1" applyAlignment="1" applyProtection="1">
      <alignment horizontal="center" vertical="center"/>
    </xf>
    <xf numFmtId="1" fontId="39" fillId="0" borderId="0" xfId="0" applyNumberFormat="1" applyFont="1" applyFill="1" applyAlignment="1" applyProtection="1">
      <alignment horizontal="right" vertical="top"/>
    </xf>
    <xf numFmtId="1" fontId="39" fillId="0" borderId="0" xfId="0" applyNumberFormat="1" applyFont="1" applyFill="1" applyAlignment="1" applyProtection="1">
      <alignment horizontal="left" indent="3"/>
      <protection hidden="1"/>
    </xf>
    <xf numFmtId="1" fontId="53" fillId="0" borderId="0" xfId="0" applyNumberFormat="1" applyFont="1" applyFill="1" applyAlignment="1" applyProtection="1">
      <alignment horizontal="center" vertical="center"/>
      <protection hidden="1"/>
    </xf>
    <xf numFmtId="1" fontId="53" fillId="0" borderId="0" xfId="0" applyNumberFormat="1" applyFont="1" applyFill="1" applyAlignment="1" applyProtection="1">
      <alignment horizontal="left" vertical="center"/>
      <protection hidden="1"/>
    </xf>
    <xf numFmtId="1" fontId="53" fillId="0" borderId="0" xfId="0" applyNumberFormat="1" applyFont="1" applyFill="1" applyAlignment="1" applyProtection="1">
      <alignment horizontal="center"/>
      <protection hidden="1"/>
    </xf>
    <xf numFmtId="1" fontId="39" fillId="0" borderId="0" xfId="0" applyNumberFormat="1" applyFont="1" applyFill="1" applyAlignment="1" applyProtection="1">
      <alignment horizontal="center" vertical="center"/>
      <protection hidden="1"/>
    </xf>
    <xf numFmtId="1" fontId="53" fillId="0" borderId="0" xfId="0" applyNumberFormat="1" applyFont="1" applyFill="1" applyAlignment="1" applyProtection="1">
      <alignment horizontal="left" vertical="center" indent="6"/>
      <protection hidden="1"/>
    </xf>
    <xf numFmtId="1" fontId="25" fillId="5" borderId="117" xfId="0" applyNumberFormat="1" applyFont="1" applyFill="1" applyBorder="1" applyAlignment="1" applyProtection="1">
      <alignment horizontal="center" vertical="center" wrapText="1"/>
      <protection locked="0"/>
    </xf>
    <xf numFmtId="1" fontId="25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 applyProtection="1">
      <alignment horizontal="center" vertical="top"/>
    </xf>
    <xf numFmtId="1" fontId="61" fillId="0" borderId="0" xfId="0" applyNumberFormat="1" applyFont="1" applyFill="1" applyAlignment="1" applyProtection="1">
      <alignment horizontal="center" vertical="top"/>
    </xf>
    <xf numFmtId="1" fontId="25" fillId="5" borderId="117" xfId="0" applyNumberFormat="1" applyFont="1" applyFill="1" applyBorder="1" applyAlignment="1" applyProtection="1">
      <alignment horizontal="center" wrapText="1"/>
      <protection locked="0"/>
    </xf>
    <xf numFmtId="1" fontId="25" fillId="5" borderId="0" xfId="0" applyNumberFormat="1" applyFont="1" applyFill="1" applyBorder="1" applyAlignment="1" applyProtection="1">
      <alignment horizontal="center" wrapText="1"/>
      <protection locked="0"/>
    </xf>
    <xf numFmtId="0" fontId="61" fillId="5" borderId="0" xfId="0" applyFont="1" applyFill="1" applyAlignment="1" applyProtection="1">
      <alignment horizontal="center"/>
      <protection locked="0"/>
    </xf>
    <xf numFmtId="1" fontId="39" fillId="0" borderId="0" xfId="0" applyNumberFormat="1" applyFont="1" applyFill="1" applyAlignment="1" applyProtection="1">
      <alignment horizontal="right" vertical="center" indent="2"/>
    </xf>
    <xf numFmtId="1" fontId="52" fillId="0" borderId="0" xfId="0" applyNumberFormat="1" applyFont="1" applyFill="1" applyAlignment="1" applyProtection="1">
      <alignment horizontal="left" indent="7"/>
    </xf>
    <xf numFmtId="1" fontId="37" fillId="0" borderId="0" xfId="0" applyNumberFormat="1" applyFont="1" applyFill="1" applyBorder="1" applyAlignment="1" applyProtection="1">
      <alignment horizontal="left" vertical="center" indent="3"/>
    </xf>
    <xf numFmtId="1" fontId="37" fillId="10" borderId="0" xfId="0" applyNumberFormat="1" applyFont="1" applyFill="1" applyBorder="1" applyAlignment="1" applyProtection="1">
      <alignment horizontal="left" vertical="center" indent="5"/>
    </xf>
    <xf numFmtId="1" fontId="50" fillId="0" borderId="0" xfId="0" applyNumberFormat="1" applyFont="1" applyFill="1" applyAlignment="1" applyProtection="1">
      <alignment horizontal="left" indent="2"/>
      <protection hidden="1"/>
    </xf>
    <xf numFmtId="1" fontId="50" fillId="0" borderId="0" xfId="0" applyNumberFormat="1" applyFont="1" applyFill="1" applyAlignment="1" applyProtection="1">
      <alignment horizontal="left" vertical="top" indent="4"/>
    </xf>
    <xf numFmtId="1" fontId="50" fillId="0" borderId="0" xfId="0" applyNumberFormat="1" applyFont="1" applyFill="1" applyAlignment="1" applyProtection="1">
      <alignment horizontal="right" vertical="center" indent="4"/>
    </xf>
    <xf numFmtId="1" fontId="149" fillId="0" borderId="0" xfId="0" applyNumberFormat="1" applyFont="1" applyFill="1" applyAlignment="1" applyProtection="1">
      <alignment horizontal="center"/>
    </xf>
    <xf numFmtId="1" fontId="50" fillId="0" borderId="0" xfId="0" applyNumberFormat="1" applyFont="1" applyFill="1" applyAlignment="1" applyProtection="1">
      <alignment horizontal="left" vertical="center" indent="7"/>
      <protection hidden="1"/>
    </xf>
    <xf numFmtId="1" fontId="149" fillId="0" borderId="0" xfId="0" applyNumberFormat="1" applyFont="1" applyFill="1" applyAlignment="1" applyProtection="1">
      <alignment horizontal="left" indent="4"/>
      <protection hidden="1"/>
    </xf>
    <xf numFmtId="1" fontId="61" fillId="0" borderId="0" xfId="0" applyNumberFormat="1" applyFont="1" applyFill="1" applyAlignment="1" applyProtection="1">
      <alignment horizontal="left" vertical="center" indent="10"/>
    </xf>
    <xf numFmtId="0" fontId="85" fillId="0" borderId="93" xfId="0" applyFont="1" applyFill="1" applyBorder="1" applyAlignment="1" applyProtection="1">
      <alignment horizontal="center" vertical="center"/>
    </xf>
    <xf numFmtId="0" fontId="43" fillId="0" borderId="56" xfId="0" applyFont="1" applyFill="1" applyBorder="1" applyAlignment="1" applyProtection="1">
      <alignment horizontal="left" vertical="center"/>
    </xf>
    <xf numFmtId="0" fontId="43" fillId="0" borderId="73" xfId="0" applyFont="1" applyFill="1" applyBorder="1" applyAlignment="1" applyProtection="1">
      <alignment horizontal="left" vertical="center"/>
    </xf>
    <xf numFmtId="1" fontId="53" fillId="0" borderId="0" xfId="0" applyNumberFormat="1" applyFont="1" applyFill="1" applyAlignment="1" applyProtection="1">
      <alignment horizontal="left" indent="5"/>
      <protection hidden="1"/>
    </xf>
    <xf numFmtId="1" fontId="53" fillId="0" borderId="0" xfId="0" applyNumberFormat="1" applyFont="1" applyFill="1" applyAlignment="1" applyProtection="1">
      <alignment horizontal="left" indent="4"/>
      <protection hidden="1"/>
    </xf>
    <xf numFmtId="0" fontId="61" fillId="5" borderId="0" xfId="0" applyFont="1" applyFill="1" applyAlignment="1" applyProtection="1">
      <alignment horizontal="center" vertical="top"/>
      <protection locked="0"/>
    </xf>
    <xf numFmtId="1" fontId="25" fillId="5" borderId="117" xfId="0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Fill="1" applyAlignment="1" applyProtection="1">
      <alignment vertical="top"/>
      <protection locked="0"/>
    </xf>
    <xf numFmtId="1" fontId="61" fillId="0" borderId="0" xfId="0" applyNumberFormat="1" applyFont="1" applyFill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horizontal="left" vertical="center" indent="4"/>
    </xf>
    <xf numFmtId="1" fontId="37" fillId="0" borderId="0" xfId="0" applyNumberFormat="1" applyFont="1" applyFill="1" applyBorder="1" applyAlignment="1" applyProtection="1">
      <alignment horizontal="left" indent="3"/>
    </xf>
    <xf numFmtId="1" fontId="149" fillId="0" borderId="0" xfId="0" applyNumberFormat="1" applyFont="1" applyFill="1" applyAlignment="1" applyProtection="1">
      <alignment horizontal="left" vertical="top" indent="6"/>
      <protection hidden="1"/>
    </xf>
    <xf numFmtId="1" fontId="50" fillId="0" borderId="0" xfId="0" applyNumberFormat="1" applyFont="1" applyFill="1" applyAlignment="1" applyProtection="1">
      <alignment horizontal="right" vertical="center" indent="5"/>
    </xf>
    <xf numFmtId="0" fontId="27" fillId="0" borderId="155" xfId="4" applyFont="1" applyFill="1" applyBorder="1" applyAlignment="1" applyProtection="1">
      <alignment horizontal="center" vertical="center"/>
    </xf>
    <xf numFmtId="0" fontId="27" fillId="0" borderId="121" xfId="4" applyFont="1" applyFill="1" applyBorder="1" applyAlignment="1" applyProtection="1">
      <alignment horizontal="center" vertical="center"/>
    </xf>
    <xf numFmtId="1" fontId="50" fillId="0" borderId="0" xfId="0" applyNumberFormat="1" applyFont="1" applyFill="1" applyAlignment="1" applyProtection="1">
      <alignment horizontal="left" vertical="center" indent="6"/>
    </xf>
    <xf numFmtId="1" fontId="50" fillId="0" borderId="0" xfId="0" applyNumberFormat="1" applyFont="1" applyFill="1" applyAlignment="1" applyProtection="1">
      <alignment horizontal="right" vertical="center"/>
    </xf>
    <xf numFmtId="1" fontId="50" fillId="0" borderId="0" xfId="0" applyNumberFormat="1" applyFont="1" applyFill="1" applyAlignment="1" applyProtection="1">
      <alignment horizontal="right" vertical="top" indent="1"/>
    </xf>
    <xf numFmtId="0" fontId="76" fillId="0" borderId="43" xfId="4" applyFont="1" applyFill="1" applyBorder="1" applyAlignment="1" applyProtection="1">
      <alignment horizontal="center" vertical="center"/>
    </xf>
    <xf numFmtId="0" fontId="129" fillId="0" borderId="95" xfId="4" applyFont="1" applyFill="1" applyBorder="1" applyAlignment="1" applyProtection="1">
      <alignment horizontal="center" vertical="center" wrapText="1"/>
    </xf>
    <xf numFmtId="1" fontId="149" fillId="0" borderId="0" xfId="0" applyNumberFormat="1" applyFont="1" applyFill="1" applyAlignment="1" applyProtection="1">
      <alignment horizontal="left" indent="5"/>
      <protection hidden="1"/>
    </xf>
    <xf numFmtId="1" fontId="149" fillId="0" borderId="0" xfId="0" applyNumberFormat="1" applyFont="1" applyFill="1" applyAlignment="1" applyProtection="1">
      <alignment horizontal="left" indent="8"/>
      <protection hidden="1"/>
    </xf>
    <xf numFmtId="1" fontId="149" fillId="0" borderId="0" xfId="0" applyNumberFormat="1" applyFont="1" applyFill="1" applyAlignment="1" applyProtection="1">
      <alignment horizontal="left" vertical="top" indent="4"/>
      <protection hidden="1"/>
    </xf>
    <xf numFmtId="1" fontId="149" fillId="0" borderId="0" xfId="0" applyNumberFormat="1" applyFont="1" applyFill="1" applyAlignment="1" applyProtection="1">
      <alignment horizontal="right" vertical="top"/>
      <protection hidden="1"/>
    </xf>
    <xf numFmtId="1" fontId="149" fillId="0" borderId="0" xfId="0" applyNumberFormat="1" applyFont="1" applyFill="1" applyAlignment="1" applyProtection="1">
      <alignment horizontal="center" vertical="top"/>
      <protection hidden="1"/>
    </xf>
    <xf numFmtId="2" fontId="50" fillId="0" borderId="94" xfId="3" applyNumberFormat="1" applyFont="1" applyFill="1" applyBorder="1" applyAlignment="1" applyProtection="1">
      <alignment horizontal="left" vertical="center"/>
    </xf>
    <xf numFmtId="2" fontId="50" fillId="0" borderId="95" xfId="3" applyNumberFormat="1" applyFont="1" applyFill="1" applyBorder="1" applyAlignment="1" applyProtection="1">
      <alignment horizontal="left" vertical="center"/>
    </xf>
    <xf numFmtId="1" fontId="137" fillId="0" borderId="0" xfId="4" applyNumberFormat="1" applyFont="1" applyFill="1" applyBorder="1" applyAlignment="1" applyProtection="1">
      <alignment horizontal="right"/>
    </xf>
    <xf numFmtId="1" fontId="137" fillId="0" borderId="56" xfId="4" applyNumberFormat="1" applyFont="1" applyFill="1" applyBorder="1" applyAlignment="1" applyProtection="1">
      <alignment horizontal="right"/>
    </xf>
    <xf numFmtId="0" fontId="42" fillId="0" borderId="0" xfId="0" applyFont="1" applyFill="1" applyAlignment="1" applyProtection="1">
      <alignment horizontal="center" vertical="center"/>
    </xf>
    <xf numFmtId="0" fontId="76" fillId="0" borderId="0" xfId="0" applyFont="1" applyFill="1" applyBorder="1" applyAlignment="1" applyProtection="1">
      <alignment horizontal="left" vertical="center"/>
    </xf>
    <xf numFmtId="1" fontId="55" fillId="5" borderId="56" xfId="0" applyNumberFormat="1" applyFont="1" applyFill="1" applyBorder="1" applyAlignment="1" applyProtection="1">
      <alignment horizontal="center" vertical="center"/>
      <protection locked="0"/>
    </xf>
    <xf numFmtId="2" fontId="154" fillId="0" borderId="94" xfId="3" applyNumberFormat="1" applyFont="1" applyFill="1" applyBorder="1" applyAlignment="1" applyProtection="1">
      <alignment horizontal="left" vertical="center"/>
    </xf>
    <xf numFmtId="2" fontId="154" fillId="0" borderId="95" xfId="3" applyNumberFormat="1" applyFont="1" applyFill="1" applyBorder="1" applyAlignment="1" applyProtection="1">
      <alignment horizontal="left" vertical="center"/>
    </xf>
    <xf numFmtId="0" fontId="21" fillId="7" borderId="0" xfId="0" applyFont="1" applyFill="1" applyBorder="1" applyAlignment="1" applyProtection="1">
      <alignment horizontal="left"/>
    </xf>
    <xf numFmtId="165" fontId="155" fillId="7" borderId="0" xfId="0" applyNumberFormat="1" applyFont="1" applyFill="1" applyBorder="1" applyAlignment="1" applyProtection="1">
      <alignment horizontal="right" vertical="center"/>
    </xf>
    <xf numFmtId="1" fontId="30" fillId="7" borderId="0" xfId="0" applyNumberFormat="1" applyFont="1" applyFill="1" applyBorder="1" applyAlignment="1" applyProtection="1">
      <alignment horizontal="right" vertical="center"/>
    </xf>
    <xf numFmtId="0" fontId="150" fillId="0" borderId="93" xfId="0" applyFont="1" applyFill="1" applyBorder="1" applyAlignment="1" applyProtection="1">
      <alignment horizontal="center" vertical="center" wrapText="1"/>
    </xf>
    <xf numFmtId="0" fontId="43" fillId="0" borderId="0" xfId="4" applyFont="1" applyBorder="1" applyAlignment="1" applyProtection="1">
      <alignment horizontal="left"/>
    </xf>
    <xf numFmtId="0" fontId="43" fillId="0" borderId="156" xfId="4" applyFont="1" applyBorder="1" applyAlignment="1" applyProtection="1">
      <alignment horizontal="left"/>
    </xf>
    <xf numFmtId="1" fontId="48" fillId="0" borderId="0" xfId="4" applyNumberFormat="1" applyFont="1" applyFill="1" applyBorder="1" applyAlignment="1" applyProtection="1">
      <alignment horizontal="right" vertical="center" wrapText="1"/>
    </xf>
    <xf numFmtId="1" fontId="48" fillId="0" borderId="156" xfId="4" applyNumberFormat="1" applyFont="1" applyFill="1" applyBorder="1" applyAlignment="1" applyProtection="1">
      <alignment horizontal="right" vertical="center" wrapText="1"/>
    </xf>
    <xf numFmtId="0" fontId="47" fillId="0" borderId="117" xfId="4" applyFont="1" applyFill="1" applyBorder="1" applyAlignment="1" applyProtection="1">
      <alignment horizontal="left" wrapText="1"/>
    </xf>
    <xf numFmtId="0" fontId="17" fillId="0" borderId="117" xfId="0" applyFont="1" applyFill="1" applyBorder="1" applyAlignment="1" applyProtection="1">
      <alignment horizontal="left"/>
    </xf>
    <xf numFmtId="0" fontId="17" fillId="0" borderId="156" xfId="0" applyFont="1" applyFill="1" applyBorder="1" applyAlignment="1" applyProtection="1">
      <alignment horizontal="left"/>
    </xf>
    <xf numFmtId="1" fontId="48" fillId="0" borderId="117" xfId="4" applyNumberFormat="1" applyFont="1" applyFill="1" applyBorder="1" applyAlignment="1" applyProtection="1">
      <alignment horizontal="right" vertical="center" wrapText="1"/>
    </xf>
    <xf numFmtId="0" fontId="43" fillId="0" borderId="117" xfId="4" applyFont="1" applyBorder="1" applyAlignment="1" applyProtection="1">
      <alignment horizontal="left"/>
    </xf>
    <xf numFmtId="0" fontId="47" fillId="0" borderId="0" xfId="4" applyFont="1" applyFill="1" applyBorder="1" applyAlignment="1" applyProtection="1">
      <alignment horizontal="left" wrapText="1"/>
    </xf>
    <xf numFmtId="0" fontId="47" fillId="0" borderId="156" xfId="4" applyFont="1" applyFill="1" applyBorder="1" applyAlignment="1" applyProtection="1">
      <alignment horizontal="left" wrapText="1"/>
    </xf>
    <xf numFmtId="0" fontId="156" fillId="7" borderId="0" xfId="0" applyFont="1" applyFill="1" applyBorder="1" applyAlignment="1" applyProtection="1">
      <alignment horizontal="left"/>
    </xf>
    <xf numFmtId="1" fontId="155" fillId="7" borderId="0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Protection="1"/>
    <xf numFmtId="0" fontId="27" fillId="0" borderId="36" xfId="0" applyFont="1" applyFill="1" applyBorder="1" applyAlignment="1" applyProtection="1">
      <alignment horizontal="center"/>
    </xf>
    <xf numFmtId="0" fontId="27" fillId="0" borderId="42" xfId="0" applyFont="1" applyFill="1" applyBorder="1" applyAlignment="1" applyProtection="1">
      <alignment horizontal="center"/>
    </xf>
    <xf numFmtId="0" fontId="27" fillId="0" borderId="69" xfId="0" applyFont="1" applyFill="1" applyBorder="1" applyAlignment="1" applyProtection="1">
      <alignment horizontal="center"/>
    </xf>
    <xf numFmtId="0" fontId="27" fillId="0" borderId="90" xfId="0" applyFont="1" applyFill="1" applyBorder="1" applyAlignment="1" applyProtection="1">
      <alignment horizontal="center"/>
    </xf>
    <xf numFmtId="0" fontId="27" fillId="0" borderId="37" xfId="0" applyFont="1" applyFill="1" applyBorder="1" applyAlignment="1" applyProtection="1">
      <alignment horizontal="center"/>
    </xf>
    <xf numFmtId="0" fontId="27" fillId="0" borderId="80" xfId="0" applyFont="1" applyFill="1" applyBorder="1" applyAlignment="1" applyProtection="1">
      <alignment horizontal="center"/>
    </xf>
    <xf numFmtId="0" fontId="27" fillId="0" borderId="45" xfId="0" applyFont="1" applyFill="1" applyBorder="1" applyAlignment="1" applyProtection="1">
      <alignment horizontal="center"/>
    </xf>
    <xf numFmtId="0" fontId="43" fillId="0" borderId="76" xfId="0" applyFont="1" applyFill="1" applyBorder="1" applyAlignment="1" applyProtection="1">
      <alignment horizontal="center" wrapText="1"/>
    </xf>
    <xf numFmtId="0" fontId="43" fillId="0" borderId="77" xfId="0" applyFont="1" applyFill="1" applyBorder="1" applyAlignment="1" applyProtection="1">
      <alignment horizontal="center" wrapText="1"/>
    </xf>
    <xf numFmtId="0" fontId="185" fillId="0" borderId="34" xfId="0" applyFont="1" applyFill="1" applyBorder="1" applyAlignment="1" applyProtection="1">
      <alignment horizontal="center" wrapText="1"/>
    </xf>
    <xf numFmtId="0" fontId="185" fillId="0" borderId="35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>
      <alignment horizontal="center"/>
    </xf>
    <xf numFmtId="0" fontId="25" fillId="0" borderId="78" xfId="0" applyFont="1" applyFill="1" applyBorder="1" applyAlignment="1" applyProtection="1">
      <alignment horizontal="center" vertical="center"/>
      <protection locked="0"/>
    </xf>
    <xf numFmtId="0" fontId="25" fillId="0" borderId="79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116" xfId="0" applyFont="1" applyFill="1" applyBorder="1" applyAlignment="1" applyProtection="1">
      <alignment horizontal="center" vertical="center"/>
    </xf>
    <xf numFmtId="0" fontId="167" fillId="0" borderId="0" xfId="1" applyFont="1" applyFill="1" applyBorder="1" applyAlignment="1" applyProtection="1">
      <alignment horizontal="center" vertical="center"/>
    </xf>
    <xf numFmtId="0" fontId="168" fillId="0" borderId="69" xfId="1" applyFont="1" applyFill="1" applyBorder="1" applyAlignment="1" applyProtection="1">
      <alignment horizontal="left" vertical="center"/>
    </xf>
    <xf numFmtId="0" fontId="168" fillId="0" borderId="90" xfId="1" applyFont="1" applyFill="1" applyBorder="1" applyAlignment="1" applyProtection="1">
      <alignment horizontal="left" vertical="center"/>
    </xf>
    <xf numFmtId="0" fontId="168" fillId="0" borderId="66" xfId="1" applyFont="1" applyFill="1" applyBorder="1" applyAlignment="1" applyProtection="1">
      <alignment horizontal="left" vertical="center"/>
    </xf>
    <xf numFmtId="0" fontId="168" fillId="0" borderId="89" xfId="1" applyFont="1" applyFill="1" applyBorder="1" applyAlignment="1" applyProtection="1">
      <alignment horizontal="left" vertical="center"/>
    </xf>
    <xf numFmtId="0" fontId="168" fillId="0" borderId="63" xfId="1" applyFont="1" applyFill="1" applyBorder="1" applyAlignment="1" applyProtection="1">
      <alignment horizontal="left" vertical="center"/>
    </xf>
    <xf numFmtId="0" fontId="168" fillId="0" borderId="92" xfId="1" applyFont="1" applyFill="1" applyBorder="1" applyAlignment="1" applyProtection="1">
      <alignment horizontal="left" vertical="center"/>
    </xf>
    <xf numFmtId="0" fontId="168" fillId="0" borderId="67" xfId="1" applyFont="1" applyFill="1" applyBorder="1" applyAlignment="1" applyProtection="1">
      <alignment horizontal="left" vertical="center"/>
    </xf>
    <xf numFmtId="0" fontId="168" fillId="0" borderId="0" xfId="1" applyFont="1" applyFill="1" applyBorder="1" applyAlignment="1" applyProtection="1">
      <alignment horizontal="left" vertical="center"/>
    </xf>
    <xf numFmtId="0" fontId="168" fillId="0" borderId="61" xfId="1" applyFont="1" applyFill="1" applyBorder="1" applyAlignment="1" applyProtection="1">
      <alignment horizontal="left" vertical="center"/>
    </xf>
    <xf numFmtId="0" fontId="168" fillId="0" borderId="64" xfId="1" applyFont="1" applyFill="1" applyBorder="1" applyAlignment="1" applyProtection="1">
      <alignment horizontal="left" vertical="center"/>
    </xf>
    <xf numFmtId="0" fontId="168" fillId="0" borderId="70" xfId="1" applyFont="1" applyFill="1" applyBorder="1" applyAlignment="1" applyProtection="1">
      <alignment horizontal="left" vertical="center"/>
    </xf>
    <xf numFmtId="0" fontId="168" fillId="0" borderId="68" xfId="1" applyFont="1" applyFill="1" applyBorder="1" applyAlignment="1" applyProtection="1">
      <alignment horizontal="left" vertical="center"/>
    </xf>
    <xf numFmtId="0" fontId="168" fillId="0" borderId="71" xfId="1" applyFont="1" applyFill="1" applyBorder="1" applyAlignment="1" applyProtection="1">
      <alignment horizontal="left" vertical="center"/>
    </xf>
    <xf numFmtId="0" fontId="168" fillId="0" borderId="91" xfId="1" applyFont="1" applyFill="1" applyBorder="1" applyAlignment="1" applyProtection="1">
      <alignment horizontal="left" vertical="center"/>
    </xf>
    <xf numFmtId="0" fontId="168" fillId="0" borderId="62" xfId="1" applyFont="1" applyFill="1" applyBorder="1" applyAlignment="1" applyProtection="1">
      <alignment horizontal="left" vertical="center"/>
    </xf>
    <xf numFmtId="0" fontId="168" fillId="0" borderId="65" xfId="1" applyFont="1" applyFill="1" applyBorder="1" applyAlignment="1" applyProtection="1">
      <alignment horizontal="left" vertical="center"/>
    </xf>
    <xf numFmtId="0" fontId="28" fillId="0" borderId="19" xfId="1" applyFont="1" applyFill="1" applyBorder="1" applyAlignment="1" applyProtection="1">
      <alignment horizontal="center"/>
    </xf>
    <xf numFmtId="0" fontId="28" fillId="0" borderId="20" xfId="1" applyFont="1" applyFill="1" applyBorder="1" applyAlignment="1" applyProtection="1">
      <alignment horizontal="center"/>
    </xf>
    <xf numFmtId="0" fontId="28" fillId="0" borderId="21" xfId="1" applyFont="1" applyFill="1" applyBorder="1" applyAlignment="1" applyProtection="1">
      <alignment horizontal="center"/>
    </xf>
    <xf numFmtId="0" fontId="28" fillId="0" borderId="22" xfId="1" applyFont="1" applyFill="1" applyBorder="1" applyAlignment="1" applyProtection="1">
      <alignment horizontal="center"/>
    </xf>
    <xf numFmtId="0" fontId="168" fillId="0" borderId="60" xfId="1" applyFont="1" applyFill="1" applyBorder="1" applyAlignment="1" applyProtection="1">
      <alignment horizontal="left" vertical="center"/>
    </xf>
    <xf numFmtId="0" fontId="170" fillId="0" borderId="64" xfId="1" applyFont="1" applyFill="1" applyBorder="1" applyAlignment="1" applyProtection="1">
      <alignment horizontal="left" vertical="center"/>
    </xf>
    <xf numFmtId="0" fontId="170" fillId="0" borderId="0" xfId="1" applyFont="1" applyFill="1" applyBorder="1" applyAlignment="1" applyProtection="1">
      <alignment horizontal="left" vertical="center"/>
    </xf>
    <xf numFmtId="0" fontId="168" fillId="0" borderId="90" xfId="1" applyFont="1" applyFill="1" applyBorder="1" applyAlignment="1" applyProtection="1">
      <alignment horizontal="center" vertical="center"/>
    </xf>
    <xf numFmtId="0" fontId="168" fillId="0" borderId="66" xfId="1" applyFont="1" applyFill="1" applyBorder="1" applyAlignment="1" applyProtection="1">
      <alignment horizontal="center" vertical="center"/>
    </xf>
    <xf numFmtId="0" fontId="164" fillId="0" borderId="51" xfId="1" applyFont="1" applyFill="1" applyBorder="1" applyAlignment="1" applyProtection="1">
      <alignment horizontal="center" vertical="center"/>
    </xf>
    <xf numFmtId="0" fontId="165" fillId="0" borderId="48" xfId="1" applyFont="1" applyFill="1" applyBorder="1" applyAlignment="1" applyProtection="1">
      <alignment horizontal="left" vertical="center"/>
    </xf>
    <xf numFmtId="0" fontId="165" fillId="0" borderId="52" xfId="1" applyFont="1" applyFill="1" applyBorder="1" applyAlignment="1" applyProtection="1">
      <alignment horizontal="left" vertical="center"/>
    </xf>
    <xf numFmtId="0" fontId="165" fillId="0" borderId="81" xfId="1" applyFont="1" applyFill="1" applyBorder="1" applyAlignment="1" applyProtection="1">
      <alignment horizontal="left" vertical="center"/>
    </xf>
    <xf numFmtId="0" fontId="165" fillId="0" borderId="46" xfId="1" applyFont="1" applyFill="1" applyBorder="1" applyAlignment="1" applyProtection="1">
      <alignment horizontal="left" vertical="center"/>
    </xf>
    <xf numFmtId="0" fontId="165" fillId="0" borderId="0" xfId="1" applyFont="1" applyFill="1" applyBorder="1" applyAlignment="1" applyProtection="1">
      <alignment horizontal="left" vertical="center"/>
    </xf>
    <xf numFmtId="0" fontId="165" fillId="0" borderId="47" xfId="1" applyFont="1" applyFill="1" applyBorder="1" applyAlignment="1" applyProtection="1">
      <alignment horizontal="left" vertical="center"/>
    </xf>
    <xf numFmtId="0" fontId="165" fillId="0" borderId="82" xfId="1" applyFont="1" applyFill="1" applyBorder="1" applyAlignment="1" applyProtection="1">
      <alignment horizontal="left" vertical="center"/>
    </xf>
    <xf numFmtId="0" fontId="165" fillId="0" borderId="56" xfId="1" applyFont="1" applyFill="1" applyBorder="1" applyAlignment="1" applyProtection="1">
      <alignment horizontal="left" vertical="center"/>
    </xf>
    <xf numFmtId="0" fontId="165" fillId="0" borderId="83" xfId="1" applyFont="1" applyFill="1" applyBorder="1" applyAlignment="1" applyProtection="1">
      <alignment horizontal="left" vertical="center"/>
    </xf>
    <xf numFmtId="0" fontId="165" fillId="0" borderId="52" xfId="1" applyFont="1" applyFill="1" applyBorder="1" applyAlignment="1" applyProtection="1">
      <alignment horizontal="center" vertical="center"/>
    </xf>
    <xf numFmtId="0" fontId="165" fillId="0" borderId="0" xfId="1" applyFont="1" applyFill="1" applyBorder="1" applyAlignment="1" applyProtection="1">
      <alignment horizontal="center" vertical="center"/>
    </xf>
    <xf numFmtId="0" fontId="165" fillId="0" borderId="84" xfId="1" applyFont="1" applyFill="1" applyBorder="1" applyAlignment="1" applyProtection="1">
      <alignment horizontal="center" vertical="center"/>
    </xf>
    <xf numFmtId="0" fontId="167" fillId="0" borderId="67" xfId="1" applyFont="1" applyFill="1" applyBorder="1" applyAlignment="1" applyProtection="1">
      <alignment horizontal="center" vertical="center"/>
    </xf>
    <xf numFmtId="0" fontId="167" fillId="0" borderId="61" xfId="1" applyFont="1" applyFill="1" applyBorder="1" applyAlignment="1" applyProtection="1">
      <alignment horizontal="center" vertical="center"/>
    </xf>
    <xf numFmtId="0" fontId="168" fillId="0" borderId="85" xfId="1" applyFont="1" applyFill="1" applyBorder="1" applyAlignment="1" applyProtection="1">
      <alignment horizontal="center" vertical="center"/>
    </xf>
    <xf numFmtId="0" fontId="168" fillId="0" borderId="86" xfId="1" applyFont="1" applyFill="1" applyBorder="1" applyAlignment="1" applyProtection="1">
      <alignment horizontal="center" vertical="center"/>
    </xf>
    <xf numFmtId="0" fontId="168" fillId="0" borderId="67" xfId="1" applyFont="1" applyFill="1" applyBorder="1" applyAlignment="1" applyProtection="1">
      <alignment horizontal="center" vertical="center"/>
    </xf>
    <xf numFmtId="0" fontId="168" fillId="0" borderId="0" xfId="1" applyFont="1" applyFill="1" applyBorder="1" applyAlignment="1" applyProtection="1">
      <alignment horizontal="center" vertical="center"/>
    </xf>
    <xf numFmtId="0" fontId="79" fillId="0" borderId="87" xfId="1" applyFont="1" applyFill="1" applyBorder="1" applyAlignment="1" applyProtection="1">
      <alignment horizontal="center" vertical="center" wrapText="1"/>
    </xf>
    <xf numFmtId="0" fontId="79" fillId="0" borderId="54" xfId="1" applyFont="1" applyFill="1" applyBorder="1" applyAlignment="1" applyProtection="1">
      <alignment horizontal="center" vertical="center" wrapText="1"/>
    </xf>
    <xf numFmtId="0" fontId="79" fillId="0" borderId="88" xfId="1" applyFont="1" applyFill="1" applyBorder="1" applyAlignment="1" applyProtection="1">
      <alignment horizontal="center" vertical="center" wrapText="1"/>
    </xf>
    <xf numFmtId="0" fontId="79" fillId="0" borderId="58" xfId="1" applyFont="1" applyFill="1" applyBorder="1" applyAlignment="1" applyProtection="1">
      <alignment horizontal="center" vertical="center" wrapText="1"/>
    </xf>
    <xf numFmtId="0" fontId="28" fillId="0" borderId="0" xfId="1" applyFont="1" applyFill="1" applyAlignment="1" applyProtection="1">
      <alignment horizontal="center"/>
    </xf>
    <xf numFmtId="0" fontId="160" fillId="0" borderId="0" xfId="1" applyFont="1" applyFill="1" applyAlignment="1" applyProtection="1">
      <alignment horizontal="center" vertical="center" wrapText="1"/>
    </xf>
    <xf numFmtId="49" fontId="14" fillId="0" borderId="32" xfId="1" applyNumberFormat="1" applyFont="1" applyFill="1" applyBorder="1" applyAlignment="1" applyProtection="1">
      <alignment horizontal="center" vertical="center" textRotation="90" wrapText="1"/>
    </xf>
    <xf numFmtId="49" fontId="14" fillId="0" borderId="4" xfId="1" applyNumberFormat="1" applyFont="1" applyFill="1" applyBorder="1" applyAlignment="1" applyProtection="1">
      <alignment horizontal="center" vertical="center" textRotation="90" wrapText="1"/>
    </xf>
    <xf numFmtId="0" fontId="14" fillId="0" borderId="32" xfId="1" applyFont="1" applyFill="1" applyBorder="1" applyAlignment="1" applyProtection="1">
      <alignment horizontal="center" vertical="center" textRotation="90" wrapText="1"/>
    </xf>
    <xf numFmtId="0" fontId="14" fillId="0" borderId="4" xfId="1" applyFont="1" applyFill="1" applyBorder="1" applyAlignment="1" applyProtection="1">
      <alignment horizontal="center" vertical="center" textRotation="90" wrapText="1"/>
    </xf>
    <xf numFmtId="0" fontId="13" fillId="4" borderId="26" xfId="1" applyFont="1" applyFill="1" applyBorder="1" applyAlignment="1" applyProtection="1">
      <alignment horizontal="center" vertical="center" wrapText="1"/>
    </xf>
    <xf numFmtId="0" fontId="13" fillId="4" borderId="27" xfId="1" applyFont="1" applyFill="1" applyBorder="1" applyAlignment="1" applyProtection="1">
      <alignment horizontal="center" vertical="center" wrapText="1"/>
    </xf>
    <xf numFmtId="0" fontId="13" fillId="4" borderId="28" xfId="1" applyFont="1" applyFill="1" applyBorder="1" applyAlignment="1" applyProtection="1">
      <alignment horizontal="center" vertical="center" wrapText="1"/>
    </xf>
    <xf numFmtId="0" fontId="13" fillId="4" borderId="29" xfId="1" applyFont="1" applyFill="1" applyBorder="1" applyAlignment="1" applyProtection="1">
      <alignment horizontal="center" vertical="center" wrapText="1"/>
    </xf>
    <xf numFmtId="0" fontId="13" fillId="4" borderId="30" xfId="1" applyFont="1" applyFill="1" applyBorder="1" applyAlignment="1" applyProtection="1">
      <alignment horizontal="center" vertical="center" wrapText="1"/>
    </xf>
    <xf numFmtId="0" fontId="13" fillId="4" borderId="31" xfId="1" applyFont="1" applyFill="1" applyBorder="1" applyAlignment="1" applyProtection="1">
      <alignment horizontal="center" vertical="center" wrapText="1"/>
    </xf>
    <xf numFmtId="0" fontId="7" fillId="0" borderId="0" xfId="1" applyFill="1" applyAlignment="1" applyProtection="1">
      <alignment horizontal="center"/>
    </xf>
    <xf numFmtId="0" fontId="9" fillId="0" borderId="0" xfId="1" applyFont="1" applyFill="1" applyAlignment="1" applyProtection="1">
      <alignment horizontal="center" vertical="center"/>
    </xf>
    <xf numFmtId="0" fontId="11" fillId="0" borderId="0" xfId="1" applyFont="1" applyFill="1" applyAlignment="1" applyProtection="1">
      <alignment horizontal="center" vertical="center"/>
    </xf>
    <xf numFmtId="0" fontId="12" fillId="3" borderId="23" xfId="1" applyFont="1" applyFill="1" applyBorder="1" applyAlignment="1" applyProtection="1">
      <alignment horizontal="center" vertical="center"/>
    </xf>
    <xf numFmtId="0" fontId="12" fillId="3" borderId="24" xfId="1" applyFont="1" applyFill="1" applyBorder="1" applyAlignment="1" applyProtection="1">
      <alignment horizontal="center" vertical="center"/>
    </xf>
    <xf numFmtId="0" fontId="12" fillId="3" borderId="2" xfId="1" applyFont="1" applyFill="1" applyBorder="1" applyAlignment="1" applyProtection="1">
      <alignment horizontal="center" vertical="center"/>
    </xf>
    <xf numFmtId="49" fontId="12" fillId="3" borderId="24" xfId="1" applyNumberFormat="1" applyFont="1" applyFill="1" applyBorder="1" applyAlignment="1" applyProtection="1">
      <alignment horizontal="center" vertical="center"/>
    </xf>
    <xf numFmtId="49" fontId="12" fillId="3" borderId="2" xfId="1" applyNumberFormat="1" applyFont="1" applyFill="1" applyBorder="1" applyAlignment="1" applyProtection="1">
      <alignment horizontal="center" vertical="center"/>
    </xf>
    <xf numFmtId="49" fontId="12" fillId="3" borderId="3" xfId="1" applyNumberFormat="1" applyFont="1" applyFill="1" applyBorder="1" applyAlignment="1" applyProtection="1">
      <alignment horizontal="center" vertical="center"/>
    </xf>
    <xf numFmtId="49" fontId="12" fillId="3" borderId="25" xfId="1" applyNumberFormat="1" applyFont="1" applyFill="1" applyBorder="1" applyAlignment="1" applyProtection="1">
      <alignment horizontal="center" vertical="center"/>
    </xf>
    <xf numFmtId="0" fontId="182" fillId="0" borderId="0" xfId="2" applyFont="1" applyFill="1" applyBorder="1" applyAlignment="1" applyProtection="1">
      <alignment horizontal="left"/>
    </xf>
    <xf numFmtId="0" fontId="183" fillId="0" borderId="0" xfId="2" applyFont="1" applyFill="1" applyBorder="1" applyAlignment="1" applyProtection="1">
      <alignment horizontal="left"/>
    </xf>
    <xf numFmtId="0" fontId="178" fillId="0" borderId="0" xfId="2" applyFont="1" applyFill="1" applyBorder="1" applyAlignment="1" applyProtection="1">
      <alignment horizontal="center" vertical="center"/>
    </xf>
    <xf numFmtId="0" fontId="178" fillId="0" borderId="0" xfId="2" applyFont="1" applyFill="1" applyBorder="1" applyAlignment="1" applyProtection="1">
      <alignment horizontal="center" vertical="top"/>
    </xf>
    <xf numFmtId="0" fontId="19" fillId="0" borderId="0" xfId="2" applyFont="1" applyFill="1" applyBorder="1" applyAlignment="1" applyProtection="1">
      <alignment horizontal="center" vertical="top" wrapText="1"/>
    </xf>
    <xf numFmtId="2" fontId="159" fillId="0" borderId="0" xfId="2" applyNumberFormat="1" applyFont="1" applyFill="1" applyBorder="1" applyAlignment="1" applyProtection="1">
      <alignment horizontal="center" vertical="center" wrapText="1"/>
    </xf>
    <xf numFmtId="0" fontId="181" fillId="0" borderId="0" xfId="2" applyFont="1" applyFill="1" applyBorder="1" applyAlignment="1" applyProtection="1">
      <alignment horizontal="center" vertical="center"/>
    </xf>
    <xf numFmtId="0" fontId="159" fillId="0" borderId="0" xfId="2" applyFont="1" applyFill="1" applyBorder="1" applyAlignment="1" applyProtection="1">
      <alignment horizontal="center" vertical="center"/>
      <protection locked="0"/>
    </xf>
    <xf numFmtId="0" fontId="152" fillId="0" borderId="0" xfId="2" applyFont="1" applyFill="1" applyBorder="1" applyAlignment="1" applyProtection="1">
      <alignment horizontal="center" vertical="center"/>
    </xf>
    <xf numFmtId="0" fontId="113" fillId="0" borderId="0" xfId="4" applyFont="1" applyFill="1" applyBorder="1" applyAlignment="1" applyProtection="1">
      <alignment horizontal="left" vertical="center"/>
    </xf>
    <xf numFmtId="0" fontId="118" fillId="0" borderId="0" xfId="4" applyFont="1" applyFill="1" applyBorder="1" applyAlignment="1" applyProtection="1">
      <alignment horizontal="left" vertical="center"/>
    </xf>
    <xf numFmtId="0" fontId="113" fillId="0" borderId="0" xfId="4" applyFont="1" applyFill="1" applyBorder="1" applyAlignment="1" applyProtection="1">
      <alignment horizontal="center" vertical="center"/>
    </xf>
    <xf numFmtId="0" fontId="114" fillId="0" borderId="0" xfId="4" applyFont="1" applyFill="1" applyBorder="1" applyAlignment="1" applyProtection="1">
      <alignment horizontal="center" vertical="center" textRotation="90" wrapText="1"/>
    </xf>
    <xf numFmtId="0" fontId="113" fillId="0" borderId="0" xfId="4" applyFont="1" applyFill="1" applyBorder="1" applyAlignment="1" applyProtection="1">
      <alignment horizontal="left" vertical="center" wrapText="1"/>
    </xf>
    <xf numFmtId="4" fontId="111" fillId="0" borderId="0" xfId="4" applyNumberFormat="1" applyFont="1" applyAlignment="1" applyProtection="1">
      <alignment horizontal="center" vertical="center"/>
    </xf>
    <xf numFmtId="0" fontId="111" fillId="0" borderId="0" xfId="4" applyFont="1" applyAlignment="1" applyProtection="1">
      <alignment horizontal="center" vertical="center"/>
    </xf>
    <xf numFmtId="0" fontId="106" fillId="0" borderId="0" xfId="4" applyFont="1" applyFill="1" applyBorder="1" applyAlignment="1" applyProtection="1">
      <alignment horizontal="left" indent="4"/>
    </xf>
    <xf numFmtId="0" fontId="90" fillId="11" borderId="0" xfId="4" applyFont="1" applyFill="1" applyBorder="1" applyAlignment="1" applyProtection="1">
      <alignment horizontal="left" vertical="center" wrapText="1"/>
    </xf>
    <xf numFmtId="0" fontId="94" fillId="11" borderId="0" xfId="4" applyFont="1" applyFill="1" applyBorder="1" applyAlignment="1" applyProtection="1">
      <alignment horizontal="left" vertical="center" wrapText="1"/>
    </xf>
    <xf numFmtId="0" fontId="100" fillId="0" borderId="0" xfId="4" applyFont="1" applyFill="1" applyBorder="1" applyAlignment="1" applyProtection="1">
      <alignment horizontal="center" vertical="center"/>
    </xf>
    <xf numFmtId="0" fontId="101" fillId="0" borderId="0" xfId="4" applyFont="1" applyFill="1" applyBorder="1" applyAlignment="1" applyProtection="1">
      <alignment horizontal="center" vertical="center"/>
    </xf>
    <xf numFmtId="0" fontId="100" fillId="0" borderId="0" xfId="4" applyFont="1" applyFill="1" applyBorder="1" applyAlignment="1" applyProtection="1">
      <alignment horizontal="center"/>
    </xf>
    <xf numFmtId="0" fontId="102" fillId="0" borderId="0" xfId="4" applyFont="1" applyFill="1" applyBorder="1" applyAlignment="1" applyProtection="1">
      <alignment horizontal="center" vertical="center"/>
    </xf>
    <xf numFmtId="0" fontId="87" fillId="0" borderId="0" xfId="4" applyFont="1" applyFill="1" applyBorder="1" applyAlignment="1" applyProtection="1">
      <alignment horizontal="center" vertical="center"/>
    </xf>
    <xf numFmtId="0" fontId="104" fillId="11" borderId="0" xfId="4" applyFont="1" applyFill="1" applyAlignment="1" applyProtection="1">
      <alignment horizontal="center" vertical="top" wrapText="1"/>
    </xf>
    <xf numFmtId="0" fontId="105" fillId="0" borderId="0" xfId="4" applyFont="1" applyFill="1" applyBorder="1" applyAlignment="1" applyProtection="1">
      <alignment horizontal="center" vertical="center" wrapText="1"/>
    </xf>
    <xf numFmtId="0" fontId="121" fillId="5" borderId="8" xfId="4" applyFont="1" applyFill="1" applyBorder="1" applyAlignment="1">
      <alignment horizontal="center" vertical="center" wrapText="1"/>
    </xf>
    <xf numFmtId="0" fontId="121" fillId="5" borderId="8" xfId="4" applyFont="1" applyFill="1" applyBorder="1" applyAlignment="1">
      <alignment horizontal="left" vertical="center" wrapText="1"/>
    </xf>
    <xf numFmtId="0" fontId="120" fillId="14" borderId="8" xfId="4" applyFont="1" applyFill="1" applyBorder="1" applyAlignment="1">
      <alignment horizontal="center" vertical="center" wrapText="1"/>
    </xf>
    <xf numFmtId="0" fontId="102" fillId="14" borderId="8" xfId="4" applyFont="1" applyFill="1" applyBorder="1" applyAlignment="1">
      <alignment horizontal="center" vertical="center" wrapText="1"/>
    </xf>
    <xf numFmtId="0" fontId="120" fillId="14" borderId="134" xfId="4" applyFont="1" applyFill="1" applyBorder="1" applyAlignment="1">
      <alignment horizontal="center" vertical="center" wrapText="1"/>
    </xf>
    <xf numFmtId="0" fontId="120" fillId="14" borderId="135" xfId="4" applyFont="1" applyFill="1" applyBorder="1" applyAlignment="1">
      <alignment horizontal="center" vertical="center" wrapText="1"/>
    </xf>
    <xf numFmtId="0" fontId="120" fillId="14" borderId="136" xfId="4" applyFont="1" applyFill="1" applyBorder="1" applyAlignment="1">
      <alignment horizontal="center" vertical="center" wrapText="1"/>
    </xf>
    <xf numFmtId="0" fontId="120" fillId="14" borderId="137" xfId="4" applyFont="1" applyFill="1" applyBorder="1" applyAlignment="1">
      <alignment horizontal="center" vertical="center" wrapText="1"/>
    </xf>
    <xf numFmtId="0" fontId="120" fillId="14" borderId="130" xfId="4" applyFont="1" applyFill="1" applyBorder="1" applyAlignment="1">
      <alignment horizontal="center" vertical="center" wrapText="1"/>
    </xf>
    <xf numFmtId="0" fontId="120" fillId="14" borderId="138" xfId="4" applyFont="1" applyFill="1" applyBorder="1" applyAlignment="1">
      <alignment horizontal="center" vertical="center" wrapText="1"/>
    </xf>
    <xf numFmtId="0" fontId="127" fillId="0" borderId="21" xfId="4" applyFont="1" applyBorder="1" applyAlignment="1">
      <alignment horizontal="justify" vertical="top" wrapText="1"/>
    </xf>
    <xf numFmtId="0" fontId="127" fillId="0" borderId="146" xfId="4" applyFont="1" applyBorder="1" applyAlignment="1">
      <alignment horizontal="justify" vertical="top" wrapText="1"/>
    </xf>
    <xf numFmtId="0" fontId="127" fillId="0" borderId="22" xfId="4" applyFont="1" applyBorder="1" applyAlignment="1">
      <alignment horizontal="justify" vertical="top" wrapText="1"/>
    </xf>
    <xf numFmtId="0" fontId="123" fillId="0" borderId="11" xfId="4" applyFont="1" applyBorder="1" applyAlignment="1">
      <alignment horizontal="center" vertical="top" wrapText="1"/>
    </xf>
    <xf numFmtId="0" fontId="123" fillId="0" borderId="143" xfId="4" applyFont="1" applyBorder="1" applyAlignment="1">
      <alignment horizontal="center" vertical="top" wrapText="1"/>
    </xf>
    <xf numFmtId="0" fontId="123" fillId="0" borderId="144" xfId="4" applyFont="1" applyBorder="1" applyAlignment="1">
      <alignment horizontal="center" vertical="top" wrapText="1"/>
    </xf>
    <xf numFmtId="0" fontId="123" fillId="0" borderId="15" xfId="4" applyFont="1" applyBorder="1" applyAlignment="1">
      <alignment horizontal="center" vertical="top" wrapText="1"/>
    </xf>
    <xf numFmtId="0" fontId="123" fillId="0" borderId="0" xfId="4" applyFont="1" applyBorder="1" applyAlignment="1">
      <alignment horizontal="center" vertical="top" wrapText="1"/>
    </xf>
    <xf numFmtId="0" fontId="123" fillId="0" borderId="145" xfId="4" applyFont="1" applyBorder="1" applyAlignment="1">
      <alignment horizontal="center" vertical="top" wrapText="1"/>
    </xf>
    <xf numFmtId="0" fontId="86" fillId="0" borderId="18" xfId="4" applyBorder="1" applyAlignment="1">
      <alignment vertical="top" wrapText="1"/>
    </xf>
    <xf numFmtId="0" fontId="86" fillId="0" borderId="19" xfId="4" applyBorder="1" applyAlignment="1">
      <alignment vertical="top" wrapText="1"/>
    </xf>
    <xf numFmtId="0" fontId="86" fillId="0" borderId="20" xfId="4" applyBorder="1" applyAlignment="1">
      <alignment vertical="top" wrapText="1"/>
    </xf>
    <xf numFmtId="0" fontId="123" fillId="0" borderId="13" xfId="4" applyFont="1" applyBorder="1" applyAlignment="1">
      <alignment horizontal="justify" vertical="top" wrapText="1"/>
    </xf>
    <xf numFmtId="0" fontId="123" fillId="0" borderId="17" xfId="4" applyFont="1" applyBorder="1" applyAlignment="1">
      <alignment horizontal="justify" vertical="top" wrapText="1"/>
    </xf>
    <xf numFmtId="0" fontId="123" fillId="0" borderId="12" xfId="4" applyFont="1" applyBorder="1" applyAlignment="1">
      <alignment horizontal="center" vertical="top" wrapText="1"/>
    </xf>
    <xf numFmtId="0" fontId="123" fillId="0" borderId="17" xfId="4" applyFont="1" applyBorder="1" applyAlignment="1">
      <alignment horizontal="center" vertical="top" wrapText="1"/>
    </xf>
    <xf numFmtId="0" fontId="188" fillId="0" borderId="0" xfId="0" applyFont="1" applyFill="1" applyAlignment="1" applyProtection="1">
      <alignment horizontal="center" vertical="center"/>
    </xf>
    <xf numFmtId="0" fontId="191" fillId="0" borderId="0" xfId="0" applyFont="1" applyFill="1" applyBorder="1" applyAlignment="1" applyProtection="1">
      <alignment horizontal="center" vertical="center"/>
      <protection locked="0" hidden="1"/>
    </xf>
    <xf numFmtId="0" fontId="194" fillId="0" borderId="0" xfId="3" applyFont="1" applyFill="1" applyBorder="1" applyAlignment="1" applyProtection="1">
      <alignment horizontal="center" vertical="center"/>
      <protection locked="0" hidden="1"/>
    </xf>
    <xf numFmtId="0" fontId="150" fillId="0" borderId="0" xfId="0" applyFont="1" applyFill="1" applyBorder="1" applyAlignment="1" applyProtection="1">
      <alignment horizontal="left" vertical="center"/>
    </xf>
    <xf numFmtId="1" fontId="37" fillId="0" borderId="0" xfId="0" applyNumberFormat="1" applyFont="1" applyFill="1" applyBorder="1" applyAlignment="1" applyProtection="1">
      <alignment horizontal="center"/>
    </xf>
    <xf numFmtId="0" fontId="32" fillId="7" borderId="0" xfId="0" applyFont="1" applyFill="1" applyAlignment="1" applyProtection="1">
      <alignment vertical="top" wrapText="1"/>
    </xf>
    <xf numFmtId="1" fontId="37" fillId="0" borderId="0" xfId="0" applyNumberFormat="1" applyFont="1" applyFill="1" applyBorder="1" applyAlignment="1" applyProtection="1">
      <alignment horizontal="center"/>
    </xf>
    <xf numFmtId="0" fontId="85" fillId="0" borderId="94" xfId="0" applyFont="1" applyFill="1" applyBorder="1" applyAlignment="1" applyProtection="1">
      <alignment horizontal="center" vertical="center"/>
    </xf>
    <xf numFmtId="0" fontId="150" fillId="0" borderId="94" xfId="0" applyFont="1" applyFill="1" applyBorder="1" applyAlignment="1" applyProtection="1">
      <alignment horizontal="center" vertical="center" wrapText="1"/>
    </xf>
    <xf numFmtId="0" fontId="24" fillId="7" borderId="0" xfId="0" applyFont="1" applyFill="1" applyBorder="1" applyAlignment="1" applyProtection="1">
      <alignment horizontal="center" vertical="center" wrapText="1"/>
    </xf>
    <xf numFmtId="1" fontId="187" fillId="7" borderId="0" xfId="0" applyNumberFormat="1" applyFont="1" applyFill="1" applyBorder="1" applyAlignment="1" applyProtection="1">
      <alignment horizontal="center" wrapText="1"/>
    </xf>
    <xf numFmtId="0" fontId="0" fillId="7" borderId="0" xfId="0" applyFill="1" applyAlignment="1" applyProtection="1"/>
    <xf numFmtId="0" fontId="21" fillId="0" borderId="0" xfId="0" applyFont="1" applyFill="1" applyBorder="1" applyAlignment="1" applyProtection="1">
      <alignment vertical="center"/>
    </xf>
    <xf numFmtId="0" fontId="147" fillId="0" borderId="0" xfId="0" applyFont="1" applyFill="1" applyBorder="1" applyAlignment="1" applyProtection="1">
      <alignment horizontal="right" vertical="center"/>
    </xf>
    <xf numFmtId="1" fontId="48" fillId="0" borderId="0" xfId="0" applyNumberFormat="1" applyFont="1" applyFill="1" applyBorder="1" applyAlignment="1" applyProtection="1">
      <alignment vertical="center"/>
    </xf>
    <xf numFmtId="1" fontId="48" fillId="0" borderId="0" xfId="0" applyNumberFormat="1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/>
    <xf numFmtId="0" fontId="0" fillId="0" borderId="0" xfId="0" applyFill="1" applyBorder="1" applyAlignment="1" applyProtection="1"/>
    <xf numFmtId="0" fontId="48" fillId="0" borderId="0" xfId="0" applyFont="1" applyFill="1" applyBorder="1" applyAlignment="1" applyProtection="1">
      <alignment horizontal="left"/>
    </xf>
    <xf numFmtId="0" fontId="32" fillId="0" borderId="157" xfId="0" applyFont="1" applyFill="1" applyBorder="1" applyAlignment="1" applyProtection="1">
      <alignment vertical="top" wrapText="1"/>
    </xf>
    <xf numFmtId="0" fontId="0" fillId="0" borderId="157" xfId="0" applyFill="1" applyBorder="1" applyProtection="1"/>
    <xf numFmtId="0" fontId="24" fillId="0" borderId="157" xfId="0" applyFont="1" applyFill="1" applyBorder="1" applyAlignment="1" applyProtection="1">
      <alignment horizontal="center" vertical="center" wrapText="1"/>
    </xf>
    <xf numFmtId="0" fontId="21" fillId="0" borderId="157" xfId="0" applyFont="1" applyFill="1" applyBorder="1" applyAlignment="1" applyProtection="1">
      <alignment horizontal="left" vertical="center"/>
    </xf>
    <xf numFmtId="0" fontId="21" fillId="0" borderId="157" xfId="0" applyFont="1" applyFill="1" applyBorder="1" applyAlignment="1" applyProtection="1">
      <alignment horizontal="center" vertical="center"/>
    </xf>
    <xf numFmtId="1" fontId="26" fillId="0" borderId="157" xfId="0" applyNumberFormat="1" applyFont="1" applyFill="1" applyBorder="1" applyAlignment="1" applyProtection="1">
      <alignment horizontal="center" vertical="center"/>
    </xf>
    <xf numFmtId="1" fontId="136" fillId="0" borderId="157" xfId="0" applyNumberFormat="1" applyFont="1" applyFill="1" applyBorder="1" applyAlignment="1" applyProtection="1">
      <alignment vertical="center"/>
    </xf>
    <xf numFmtId="0" fontId="23" fillId="0" borderId="157" xfId="0" applyFont="1" applyFill="1" applyBorder="1" applyAlignment="1" applyProtection="1">
      <alignment horizontal="left" vertical="center"/>
    </xf>
    <xf numFmtId="0" fontId="151" fillId="0" borderId="157" xfId="0" applyFont="1" applyFill="1" applyBorder="1" applyAlignment="1" applyProtection="1">
      <alignment horizontal="left" vertical="center"/>
    </xf>
    <xf numFmtId="1" fontId="150" fillId="0" borderId="157" xfId="0" applyNumberFormat="1" applyFont="1" applyFill="1" applyBorder="1" applyAlignment="1" applyProtection="1">
      <alignment horizontal="left" vertical="center"/>
    </xf>
    <xf numFmtId="0" fontId="0" fillId="0" borderId="108" xfId="0" applyFill="1" applyBorder="1" applyProtection="1"/>
    <xf numFmtId="0" fontId="32" fillId="0" borderId="108" xfId="0" applyFont="1" applyFill="1" applyBorder="1" applyAlignment="1" applyProtection="1">
      <alignment vertical="top" wrapText="1"/>
    </xf>
    <xf numFmtId="0" fontId="24" fillId="0" borderId="108" xfId="0" applyFont="1" applyFill="1" applyBorder="1" applyAlignment="1" applyProtection="1">
      <alignment horizontal="center" vertical="center" wrapText="1"/>
    </xf>
    <xf numFmtId="0" fontId="21" fillId="0" borderId="108" xfId="0" applyFont="1" applyFill="1" applyBorder="1" applyAlignment="1" applyProtection="1">
      <alignment horizontal="left" vertical="center"/>
    </xf>
    <xf numFmtId="0" fontId="43" fillId="0" borderId="108" xfId="0" applyFont="1" applyFill="1" applyBorder="1" applyAlignment="1" applyProtection="1">
      <alignment horizontal="left" vertical="center"/>
    </xf>
    <xf numFmtId="0" fontId="189" fillId="0" borderId="108" xfId="3" applyFont="1" applyFill="1" applyBorder="1" applyAlignment="1" applyProtection="1">
      <alignment horizontal="center" vertical="center"/>
      <protection locked="0" hidden="1"/>
    </xf>
    <xf numFmtId="0" fontId="147" fillId="0" borderId="108" xfId="0" applyFont="1" applyFill="1" applyBorder="1" applyAlignment="1" applyProtection="1">
      <alignment horizontal="center" vertical="center"/>
      <protection locked="0" hidden="1"/>
    </xf>
    <xf numFmtId="0" fontId="190" fillId="0" borderId="108" xfId="3" applyFont="1" applyFill="1" applyBorder="1" applyAlignment="1" applyProtection="1">
      <alignment horizontal="center" vertical="center"/>
      <protection locked="0" hidden="1"/>
    </xf>
    <xf numFmtId="0" fontId="191" fillId="0" borderId="108" xfId="0" applyFont="1" applyFill="1" applyBorder="1" applyAlignment="1" applyProtection="1">
      <alignment horizontal="center" vertical="center"/>
      <protection locked="0" hidden="1"/>
    </xf>
    <xf numFmtId="0" fontId="192" fillId="0" borderId="108" xfId="3" applyFont="1" applyFill="1" applyBorder="1" applyAlignment="1" applyProtection="1">
      <alignment horizontal="center" vertical="center"/>
      <protection locked="0" hidden="1"/>
    </xf>
    <xf numFmtId="0" fontId="43" fillId="0" borderId="108" xfId="0" applyFont="1" applyFill="1" applyBorder="1" applyAlignment="1" applyProtection="1">
      <alignment horizontal="center" vertical="center"/>
      <protection locked="0" hidden="1"/>
    </xf>
    <xf numFmtId="0" fontId="193" fillId="0" borderId="108" xfId="3" applyFont="1" applyFill="1" applyBorder="1" applyAlignment="1" applyProtection="1">
      <alignment horizontal="left" vertical="center"/>
    </xf>
    <xf numFmtId="0" fontId="194" fillId="0" borderId="108" xfId="3" applyFont="1" applyFill="1" applyBorder="1" applyAlignment="1" applyProtection="1">
      <alignment horizontal="center" vertical="center"/>
      <protection locked="0" hidden="1"/>
    </xf>
    <xf numFmtId="0" fontId="43" fillId="0" borderId="108" xfId="0" applyFont="1" applyFill="1" applyBorder="1" applyAlignment="1" applyProtection="1">
      <alignment horizontal="center" vertical="center"/>
    </xf>
    <xf numFmtId="0" fontId="150" fillId="0" borderId="108" xfId="0" applyFont="1" applyFill="1" applyBorder="1" applyAlignment="1" applyProtection="1">
      <alignment horizontal="left" vertical="center"/>
    </xf>
    <xf numFmtId="0" fontId="186" fillId="0" borderId="0" xfId="0" applyFont="1" applyFill="1" applyBorder="1" applyAlignment="1" applyProtection="1">
      <alignment vertical="top" wrapText="1"/>
    </xf>
    <xf numFmtId="0" fontId="195" fillId="0" borderId="158" xfId="0" applyFont="1" applyFill="1" applyBorder="1" applyAlignment="1" applyProtection="1">
      <alignment horizontal="center" vertical="center" wrapText="1"/>
    </xf>
    <xf numFmtId="0" fontId="195" fillId="0" borderId="159" xfId="0" applyFont="1" applyFill="1" applyBorder="1" applyAlignment="1" applyProtection="1">
      <alignment horizontal="center" vertical="center" wrapText="1"/>
    </xf>
    <xf numFmtId="1" fontId="50" fillId="0" borderId="157" xfId="0" applyNumberFormat="1" applyFont="1" applyFill="1" applyBorder="1" applyAlignment="1" applyProtection="1">
      <alignment horizontal="center" vertical="center"/>
    </xf>
    <xf numFmtId="0" fontId="21" fillId="0" borderId="160" xfId="0" applyFont="1" applyFill="1" applyBorder="1" applyAlignment="1" applyProtection="1">
      <alignment horizontal="left" vertical="center"/>
    </xf>
    <xf numFmtId="0" fontId="21" fillId="0" borderId="161" xfId="0" applyFont="1" applyFill="1" applyBorder="1" applyAlignment="1" applyProtection="1">
      <alignment horizontal="left" vertical="center"/>
    </xf>
    <xf numFmtId="0" fontId="21" fillId="0" borderId="162" xfId="0" applyFont="1" applyFill="1" applyBorder="1" applyAlignment="1" applyProtection="1">
      <alignment horizontal="left" vertical="center"/>
    </xf>
    <xf numFmtId="1" fontId="52" fillId="0" borderId="163" xfId="0" applyNumberFormat="1" applyFont="1" applyFill="1" applyBorder="1" applyAlignment="1" applyProtection="1">
      <alignment horizontal="center" vertical="center"/>
    </xf>
    <xf numFmtId="1" fontId="52" fillId="0" borderId="164" xfId="0" applyNumberFormat="1" applyFont="1" applyFill="1" applyBorder="1" applyAlignment="1" applyProtection="1">
      <alignment horizontal="center" vertical="center"/>
    </xf>
    <xf numFmtId="1" fontId="52" fillId="0" borderId="165" xfId="0" applyNumberFormat="1" applyFont="1" applyFill="1" applyBorder="1" applyAlignment="1" applyProtection="1">
      <alignment horizontal="center" vertical="center"/>
    </xf>
    <xf numFmtId="1" fontId="52" fillId="0" borderId="157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1" fontId="52" fillId="0" borderId="108" xfId="0" applyNumberFormat="1" applyFont="1" applyFill="1" applyBorder="1" applyAlignment="1" applyProtection="1">
      <alignment horizontal="center" vertical="center"/>
    </xf>
    <xf numFmtId="1" fontId="40" fillId="0" borderId="163" xfId="0" applyNumberFormat="1" applyFont="1" applyFill="1" applyBorder="1" applyAlignment="1" applyProtection="1">
      <alignment horizontal="center" vertical="center"/>
    </xf>
    <xf numFmtId="1" fontId="40" fillId="0" borderId="164" xfId="0" applyNumberFormat="1" applyFont="1" applyFill="1" applyBorder="1" applyAlignment="1" applyProtection="1">
      <alignment horizontal="center" vertical="center"/>
    </xf>
    <xf numFmtId="1" fontId="40" fillId="0" borderId="165" xfId="0" applyNumberFormat="1" applyFont="1" applyFill="1" applyBorder="1" applyAlignment="1" applyProtection="1">
      <alignment horizontal="center" vertical="center"/>
    </xf>
    <xf numFmtId="1" fontId="40" fillId="0" borderId="157" xfId="0" applyNumberFormat="1" applyFont="1" applyFill="1" applyBorder="1" applyAlignment="1" applyProtection="1">
      <alignment horizontal="center" vertical="center"/>
    </xf>
    <xf numFmtId="1" fontId="40" fillId="0" borderId="0" xfId="0" applyNumberFormat="1" applyFont="1" applyFill="1" applyBorder="1" applyAlignment="1" applyProtection="1">
      <alignment horizontal="center" vertical="center"/>
    </xf>
    <xf numFmtId="1" fontId="40" fillId="0" borderId="108" xfId="0" applyNumberFormat="1" applyFont="1" applyFill="1" applyBorder="1" applyAlignment="1" applyProtection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0" fontId="196" fillId="0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horizontal="center" vertical="center"/>
    </xf>
    <xf numFmtId="0" fontId="42" fillId="0" borderId="0" xfId="0" applyFont="1" applyFill="1" applyBorder="1" applyAlignment="1" applyProtection="1">
      <alignment horizontal="left" vertical="center"/>
    </xf>
    <xf numFmtId="0" fontId="42" fillId="0" borderId="0" xfId="0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 applyProtection="1">
      <alignment horizontal="left"/>
    </xf>
    <xf numFmtId="1" fontId="35" fillId="0" borderId="108" xfId="0" applyNumberFormat="1" applyFont="1" applyFill="1" applyBorder="1" applyAlignment="1" applyProtection="1"/>
    <xf numFmtId="0" fontId="52" fillId="0" borderId="163" xfId="0" applyFont="1" applyFill="1" applyBorder="1" applyAlignment="1" applyProtection="1">
      <alignment horizontal="center" vertical="center"/>
    </xf>
    <xf numFmtId="0" fontId="52" fillId="0" borderId="164" xfId="0" applyFont="1" applyFill="1" applyBorder="1" applyAlignment="1" applyProtection="1">
      <alignment horizontal="center" vertical="center"/>
    </xf>
    <xf numFmtId="0" fontId="52" fillId="0" borderId="165" xfId="0" applyFont="1" applyFill="1" applyBorder="1" applyAlignment="1" applyProtection="1">
      <alignment horizontal="center" vertical="center"/>
    </xf>
    <xf numFmtId="0" fontId="52" fillId="0" borderId="157" xfId="0" applyFont="1" applyFill="1" applyBorder="1" applyAlignment="1" applyProtection="1">
      <alignment horizontal="center" vertical="center"/>
    </xf>
    <xf numFmtId="0" fontId="52" fillId="0" borderId="108" xfId="0" applyFont="1" applyFill="1" applyBorder="1" applyAlignment="1" applyProtection="1">
      <alignment horizontal="center" vertical="center"/>
    </xf>
    <xf numFmtId="0" fontId="196" fillId="0" borderId="157" xfId="0" applyFont="1" applyFill="1" applyBorder="1" applyAlignment="1" applyProtection="1">
      <alignment vertical="center"/>
    </xf>
    <xf numFmtId="0" fontId="22" fillId="0" borderId="108" xfId="0" applyFont="1" applyFill="1" applyBorder="1" applyProtection="1"/>
    <xf numFmtId="0" fontId="35" fillId="0" borderId="157" xfId="0" applyFont="1" applyFill="1" applyBorder="1" applyProtection="1"/>
    <xf numFmtId="1" fontId="37" fillId="0" borderId="108" xfId="0" applyNumberFormat="1" applyFont="1" applyFill="1" applyBorder="1" applyAlignment="1" applyProtection="1">
      <alignment horizontal="center" vertical="center"/>
    </xf>
    <xf numFmtId="0" fontId="59" fillId="0" borderId="108" xfId="0" applyFont="1" applyFill="1" applyBorder="1" applyAlignment="1" applyProtection="1">
      <alignment horizontal="left" vertical="center" wrapText="1" indent="8"/>
    </xf>
    <xf numFmtId="0" fontId="59" fillId="0" borderId="108" xfId="0" applyFont="1" applyFill="1" applyBorder="1" applyAlignment="1" applyProtection="1">
      <alignment horizontal="left" vertical="center" wrapText="1" indent="10"/>
    </xf>
    <xf numFmtId="0" fontId="59" fillId="0" borderId="108" xfId="0" applyFont="1" applyFill="1" applyBorder="1" applyAlignment="1" applyProtection="1">
      <alignment vertical="center" wrapText="1"/>
    </xf>
    <xf numFmtId="1" fontId="37" fillId="0" borderId="161" xfId="0" applyNumberFormat="1" applyFont="1" applyFill="1" applyBorder="1" applyAlignment="1" applyProtection="1">
      <alignment horizontal="left" vertical="center" indent="1"/>
    </xf>
    <xf numFmtId="1" fontId="35" fillId="0" borderId="161" xfId="0" applyNumberFormat="1" applyFont="1" applyFill="1" applyBorder="1" applyAlignment="1" applyProtection="1">
      <alignment horizontal="left" indent="1"/>
    </xf>
    <xf numFmtId="1" fontId="37" fillId="0" borderId="161" xfId="0" applyNumberFormat="1" applyFont="1" applyFill="1" applyBorder="1" applyAlignment="1" applyProtection="1">
      <alignment vertical="center"/>
    </xf>
    <xf numFmtId="1" fontId="35" fillId="0" borderId="162" xfId="0" applyNumberFormat="1" applyFont="1" applyFill="1" applyBorder="1" applyProtection="1"/>
    <xf numFmtId="1" fontId="35" fillId="0" borderId="161" xfId="0" applyNumberFormat="1" applyFont="1" applyFill="1" applyBorder="1" applyProtection="1"/>
    <xf numFmtId="1" fontId="37" fillId="0" borderId="161" xfId="0" applyNumberFormat="1" applyFont="1" applyFill="1" applyBorder="1" applyAlignment="1" applyProtection="1">
      <alignment horizontal="left" vertical="center" indent="2"/>
    </xf>
    <xf numFmtId="1" fontId="37" fillId="0" borderId="161" xfId="0" applyNumberFormat="1" applyFont="1" applyFill="1" applyBorder="1" applyAlignment="1" applyProtection="1">
      <alignment horizontal="left" vertical="center" indent="6"/>
    </xf>
    <xf numFmtId="1" fontId="42" fillId="0" borderId="0" xfId="0" applyNumberFormat="1" applyFont="1" applyFill="1" applyBorder="1" applyAlignment="1" applyProtection="1">
      <alignment horizontal="center"/>
    </xf>
    <xf numFmtId="1" fontId="42" fillId="0" borderId="0" xfId="0" applyNumberFormat="1" applyFont="1" applyFill="1" applyBorder="1" applyAlignment="1" applyProtection="1">
      <alignment horizontal="center" vertical="center"/>
    </xf>
    <xf numFmtId="1" fontId="42" fillId="0" borderId="163" xfId="0" applyNumberFormat="1" applyFont="1" applyFill="1" applyBorder="1" applyAlignment="1" applyProtection="1">
      <alignment horizontal="center" vertical="center"/>
    </xf>
    <xf numFmtId="1" fontId="42" fillId="0" borderId="164" xfId="0" applyNumberFormat="1" applyFont="1" applyFill="1" applyBorder="1" applyAlignment="1" applyProtection="1">
      <alignment horizontal="center" vertical="center"/>
    </xf>
    <xf numFmtId="1" fontId="42" fillId="0" borderId="165" xfId="0" applyNumberFormat="1" applyFont="1" applyFill="1" applyBorder="1" applyAlignment="1" applyProtection="1">
      <alignment horizontal="center" vertical="center"/>
    </xf>
    <xf numFmtId="1" fontId="42" fillId="0" borderId="157" xfId="0" applyNumberFormat="1" applyFont="1" applyFill="1" applyBorder="1" applyAlignment="1" applyProtection="1">
      <alignment horizontal="center" vertical="center"/>
    </xf>
    <xf numFmtId="1" fontId="42" fillId="0" borderId="108" xfId="0" applyNumberFormat="1" applyFont="1" applyFill="1" applyBorder="1" applyAlignment="1" applyProtection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</xf>
    <xf numFmtId="0" fontId="76" fillId="0" borderId="56" xfId="0" applyFont="1" applyFill="1" applyBorder="1" applyAlignment="1" applyProtection="1">
      <alignment horizontal="center" vertical="center"/>
    </xf>
    <xf numFmtId="0" fontId="76" fillId="0" borderId="163" xfId="0" applyFont="1" applyFill="1" applyBorder="1" applyAlignment="1" applyProtection="1">
      <alignment horizontal="center" vertical="center"/>
    </xf>
    <xf numFmtId="0" fontId="76" fillId="0" borderId="164" xfId="0" applyFont="1" applyFill="1" applyBorder="1" applyAlignment="1" applyProtection="1">
      <alignment horizontal="center" vertical="center"/>
    </xf>
    <xf numFmtId="0" fontId="76" fillId="0" borderId="165" xfId="0" applyFont="1" applyFill="1" applyBorder="1" applyAlignment="1" applyProtection="1">
      <alignment horizontal="center" vertical="center"/>
    </xf>
    <xf numFmtId="0" fontId="76" fillId="0" borderId="166" xfId="0" applyFont="1" applyFill="1" applyBorder="1" applyAlignment="1" applyProtection="1">
      <alignment horizontal="center" vertical="center"/>
    </xf>
    <xf numFmtId="0" fontId="76" fillId="0" borderId="167" xfId="0" applyFont="1" applyFill="1" applyBorder="1" applyAlignment="1" applyProtection="1">
      <alignment horizontal="center" vertical="center"/>
    </xf>
    <xf numFmtId="1" fontId="52" fillId="0" borderId="163" xfId="0" applyNumberFormat="1" applyFont="1" applyFill="1" applyBorder="1" applyAlignment="1" applyProtection="1">
      <alignment horizontal="center"/>
    </xf>
    <xf numFmtId="1" fontId="52" fillId="0" borderId="164" xfId="0" applyNumberFormat="1" applyFont="1" applyFill="1" applyBorder="1" applyAlignment="1" applyProtection="1">
      <alignment horizontal="center"/>
    </xf>
    <xf numFmtId="1" fontId="52" fillId="0" borderId="165" xfId="0" applyNumberFormat="1" applyFont="1" applyFill="1" applyBorder="1" applyAlignment="1" applyProtection="1">
      <alignment horizontal="center"/>
    </xf>
    <xf numFmtId="1" fontId="52" fillId="0" borderId="157" xfId="0" applyNumberFormat="1" applyFont="1" applyFill="1" applyBorder="1" applyAlignment="1" applyProtection="1">
      <alignment horizontal="center"/>
    </xf>
    <xf numFmtId="1" fontId="52" fillId="0" borderId="0" xfId="0" applyNumberFormat="1" applyFont="1" applyFill="1" applyBorder="1" applyAlignment="1" applyProtection="1">
      <alignment horizontal="center"/>
    </xf>
    <xf numFmtId="1" fontId="52" fillId="0" borderId="108" xfId="0" applyNumberFormat="1" applyFont="1" applyFill="1" applyBorder="1" applyAlignment="1" applyProtection="1">
      <alignment horizontal="center"/>
    </xf>
    <xf numFmtId="0" fontId="197" fillId="0" borderId="163" xfId="0" applyFont="1" applyFill="1" applyBorder="1" applyAlignment="1" applyProtection="1">
      <alignment horizontal="center" vertical="center"/>
    </xf>
    <xf numFmtId="0" fontId="197" fillId="0" borderId="164" xfId="0" applyFont="1" applyFill="1" applyBorder="1" applyAlignment="1" applyProtection="1">
      <alignment horizontal="center" vertical="center"/>
    </xf>
    <xf numFmtId="0" fontId="197" fillId="0" borderId="165" xfId="0" applyFont="1" applyFill="1" applyBorder="1" applyAlignment="1" applyProtection="1">
      <alignment horizontal="center" vertical="center"/>
    </xf>
    <xf numFmtId="0" fontId="197" fillId="0" borderId="157" xfId="0" applyFont="1" applyFill="1" applyBorder="1" applyAlignment="1" applyProtection="1">
      <alignment horizontal="center" vertical="center"/>
    </xf>
    <xf numFmtId="0" fontId="197" fillId="0" borderId="0" xfId="0" applyFont="1" applyFill="1" applyBorder="1" applyAlignment="1" applyProtection="1">
      <alignment horizontal="center" vertical="center"/>
    </xf>
    <xf numFmtId="0" fontId="197" fillId="0" borderId="108" xfId="0" applyFont="1" applyFill="1" applyBorder="1" applyAlignment="1" applyProtection="1">
      <alignment horizontal="center" vertical="center"/>
    </xf>
    <xf numFmtId="0" fontId="199" fillId="0" borderId="0" xfId="0" applyFont="1" applyFill="1" applyBorder="1" applyAlignment="1" applyProtection="1">
      <alignment horizontal="center" vertical="center"/>
    </xf>
    <xf numFmtId="0" fontId="199" fillId="0" borderId="163" xfId="0" applyFont="1" applyFill="1" applyBorder="1" applyAlignment="1" applyProtection="1">
      <alignment horizontal="center" vertical="center"/>
    </xf>
    <xf numFmtId="0" fontId="199" fillId="0" borderId="164" xfId="0" applyFont="1" applyFill="1" applyBorder="1" applyAlignment="1" applyProtection="1">
      <alignment horizontal="center" vertical="center"/>
    </xf>
    <xf numFmtId="0" fontId="199" fillId="0" borderId="165" xfId="0" applyFont="1" applyFill="1" applyBorder="1" applyAlignment="1" applyProtection="1">
      <alignment horizontal="center" vertical="center"/>
    </xf>
    <xf numFmtId="0" fontId="199" fillId="0" borderId="157" xfId="0" applyFont="1" applyFill="1" applyBorder="1" applyAlignment="1" applyProtection="1">
      <alignment horizontal="center" vertical="center"/>
    </xf>
    <xf numFmtId="0" fontId="199" fillId="0" borderId="108" xfId="0" applyFont="1" applyFill="1" applyBorder="1" applyAlignment="1" applyProtection="1">
      <alignment horizontal="center" vertical="center"/>
    </xf>
    <xf numFmtId="0" fontId="150" fillId="0" borderId="163" xfId="0" applyFont="1" applyFill="1" applyBorder="1" applyAlignment="1" applyProtection="1">
      <alignment horizontal="left" vertical="center"/>
    </xf>
    <xf numFmtId="0" fontId="150" fillId="0" borderId="164" xfId="0" applyFont="1" applyFill="1" applyBorder="1" applyAlignment="1" applyProtection="1">
      <alignment horizontal="left" vertical="center"/>
    </xf>
    <xf numFmtId="0" fontId="150" fillId="0" borderId="165" xfId="0" applyFont="1" applyFill="1" applyBorder="1" applyAlignment="1" applyProtection="1">
      <alignment horizontal="left" vertical="center"/>
    </xf>
    <xf numFmtId="0" fontId="150" fillId="0" borderId="157" xfId="0" applyFont="1" applyFill="1" applyBorder="1" applyAlignment="1" applyProtection="1">
      <alignment horizontal="left" vertical="center"/>
    </xf>
    <xf numFmtId="0" fontId="188" fillId="0" borderId="164" xfId="0" applyFont="1" applyFill="1" applyBorder="1" applyAlignment="1" applyProtection="1">
      <alignment horizontal="center" vertical="center"/>
    </xf>
    <xf numFmtId="0" fontId="188" fillId="0" borderId="0" xfId="0" applyFont="1" applyFill="1" applyBorder="1" applyAlignment="1" applyProtection="1">
      <alignment horizontal="center" vertical="center"/>
    </xf>
    <xf numFmtId="0" fontId="199" fillId="0" borderId="0" xfId="0" applyFont="1" applyFill="1" applyBorder="1" applyAlignment="1" applyProtection="1">
      <alignment vertical="center"/>
    </xf>
    <xf numFmtId="0" fontId="199" fillId="0" borderId="161" xfId="0" applyFont="1" applyFill="1" applyBorder="1" applyAlignment="1" applyProtection="1">
      <alignment vertical="center"/>
    </xf>
    <xf numFmtId="0" fontId="150" fillId="0" borderId="161" xfId="0" applyFont="1" applyFill="1" applyBorder="1" applyAlignment="1" applyProtection="1">
      <alignment horizontal="left" vertical="center"/>
    </xf>
    <xf numFmtId="0" fontId="150" fillId="0" borderId="162" xfId="0" applyFont="1" applyFill="1" applyBorder="1" applyAlignment="1" applyProtection="1">
      <alignment horizontal="left" vertical="center"/>
    </xf>
    <xf numFmtId="0" fontId="76" fillId="0" borderId="157" xfId="0" applyFont="1" applyFill="1" applyBorder="1" applyAlignment="1" applyProtection="1">
      <alignment horizontal="left" vertical="center"/>
    </xf>
    <xf numFmtId="1" fontId="55" fillId="5" borderId="164" xfId="0" applyNumberFormat="1" applyFont="1" applyFill="1" applyBorder="1" applyAlignment="1" applyProtection="1">
      <alignment horizontal="center" vertical="center"/>
      <protection locked="0"/>
    </xf>
    <xf numFmtId="0" fontId="199" fillId="0" borderId="163" xfId="0" applyFont="1" applyFill="1" applyBorder="1" applyAlignment="1" applyProtection="1">
      <alignment horizontal="right" vertical="center" indent="4"/>
    </xf>
    <xf numFmtId="0" fontId="199" fillId="0" borderId="164" xfId="0" applyFont="1" applyFill="1" applyBorder="1" applyAlignment="1" applyProtection="1">
      <alignment horizontal="right" vertical="center" indent="4"/>
    </xf>
    <xf numFmtId="0" fontId="61" fillId="0" borderId="164" xfId="0" applyFont="1" applyFill="1" applyBorder="1" applyAlignment="1" applyProtection="1">
      <alignment horizontal="left" vertical="center"/>
    </xf>
    <xf numFmtId="0" fontId="61" fillId="0" borderId="165" xfId="0" applyFont="1" applyFill="1" applyBorder="1" applyAlignment="1" applyProtection="1">
      <alignment horizontal="left" vertical="center"/>
    </xf>
    <xf numFmtId="0" fontId="199" fillId="0" borderId="157" xfId="0" applyFont="1" applyFill="1" applyBorder="1" applyAlignment="1" applyProtection="1">
      <alignment horizontal="right" vertical="center" indent="4"/>
    </xf>
    <xf numFmtId="0" fontId="199" fillId="0" borderId="0" xfId="0" applyFont="1" applyFill="1" applyBorder="1" applyAlignment="1" applyProtection="1">
      <alignment horizontal="right" vertical="center" indent="4"/>
    </xf>
    <xf numFmtId="0" fontId="61" fillId="0" borderId="56" xfId="0" applyFont="1" applyFill="1" applyBorder="1" applyAlignment="1" applyProtection="1">
      <alignment horizontal="left" vertical="center"/>
    </xf>
    <xf numFmtId="0" fontId="61" fillId="0" borderId="167" xfId="0" applyFont="1" applyFill="1" applyBorder="1" applyAlignment="1" applyProtection="1">
      <alignment horizontal="left" vertical="center"/>
    </xf>
  </cellXfs>
  <cellStyles count="7">
    <cellStyle name="Гиперссылка" xfId="3" builtinId="8"/>
    <cellStyle name="Гиперссылка 2" xfId="5"/>
    <cellStyle name="Обычный" xfId="0" builtinId="0"/>
    <cellStyle name="Обычный 2" xfId="1"/>
    <cellStyle name="Обычный 3" xfId="2"/>
    <cellStyle name="Обычный 4" xfId="4"/>
    <cellStyle name="Обычный 5" xfId="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66FF"/>
      <rgbColor rgb="00D9D9D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78FF00"/>
      <color rgb="FF33F000"/>
      <color rgb="FF3EF000"/>
      <color rgb="FF1EF000"/>
      <color rgb="FF03F000"/>
      <color rgb="FF27F000"/>
      <color rgb="FF78F000"/>
      <color rgb="FF00F00C"/>
      <color rgb="FF00F02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hyperlink" Target="mailto:kupolok.com@gmail.com" TargetMode="External"/><Relationship Id="rId26" Type="http://schemas.openxmlformats.org/officeDocument/2006/relationships/image" Target="../media/image22.png"/><Relationship Id="rId39" Type="http://schemas.openxmlformats.org/officeDocument/2006/relationships/image" Target="../media/image33.png"/><Relationship Id="rId3" Type="http://schemas.openxmlformats.org/officeDocument/2006/relationships/image" Target="../media/image3.png"/><Relationship Id="rId21" Type="http://schemas.openxmlformats.org/officeDocument/2006/relationships/hyperlink" Target="https://vk.com/kupolok" TargetMode="External"/><Relationship Id="rId34" Type="http://schemas.openxmlformats.org/officeDocument/2006/relationships/image" Target="../media/image28.png"/><Relationship Id="rId42" Type="http://schemas.openxmlformats.org/officeDocument/2006/relationships/image" Target="../media/image36.png"/><Relationship Id="rId47" Type="http://schemas.openxmlformats.org/officeDocument/2006/relationships/image" Target="../media/image41.png"/><Relationship Id="rId50" Type="http://schemas.openxmlformats.org/officeDocument/2006/relationships/hyperlink" Target="https://vk.com/82kotiara" TargetMode="Externa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hyperlink" Target="https://www.facebook.com/groups/kupolok/" TargetMode="External"/><Relationship Id="rId33" Type="http://schemas.openxmlformats.org/officeDocument/2006/relationships/image" Target="../media/image27.png"/><Relationship Id="rId38" Type="http://schemas.openxmlformats.org/officeDocument/2006/relationships/image" Target="../media/image32.png"/><Relationship Id="rId46" Type="http://schemas.openxmlformats.org/officeDocument/2006/relationships/image" Target="../media/image40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29" Type="http://schemas.openxmlformats.org/officeDocument/2006/relationships/hyperlink" Target="https://vk.com/market-50380859?section=album_1" TargetMode="External"/><Relationship Id="rId41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1.png"/><Relationship Id="rId32" Type="http://schemas.openxmlformats.org/officeDocument/2006/relationships/image" Target="../media/image26.png"/><Relationship Id="rId37" Type="http://schemas.openxmlformats.org/officeDocument/2006/relationships/image" Target="../media/image31.png"/><Relationship Id="rId40" Type="http://schemas.openxmlformats.org/officeDocument/2006/relationships/image" Target="../media/image34.png"/><Relationship Id="rId45" Type="http://schemas.openxmlformats.org/officeDocument/2006/relationships/image" Target="../media/image39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hyperlink" Target="https://www.youtube.com/user/kotiara82" TargetMode="External"/><Relationship Id="rId28" Type="http://schemas.openxmlformats.org/officeDocument/2006/relationships/image" Target="../media/image23.png"/><Relationship Id="rId36" Type="http://schemas.openxmlformats.org/officeDocument/2006/relationships/image" Target="../media/image30.png"/><Relationship Id="rId49" Type="http://schemas.openxmlformats.org/officeDocument/2006/relationships/image" Target="../media/image42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25.png"/><Relationship Id="rId44" Type="http://schemas.openxmlformats.org/officeDocument/2006/relationships/image" Target="../media/image38.png"/><Relationship Id="rId52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0.png"/><Relationship Id="rId27" Type="http://schemas.openxmlformats.org/officeDocument/2006/relationships/hyperlink" Target="https://vk.com/market-50380859?section=album_2" TargetMode="External"/><Relationship Id="rId30" Type="http://schemas.openxmlformats.org/officeDocument/2006/relationships/image" Target="../media/image24.png"/><Relationship Id="rId35" Type="http://schemas.openxmlformats.org/officeDocument/2006/relationships/image" Target="../media/image29.png"/><Relationship Id="rId43" Type="http://schemas.openxmlformats.org/officeDocument/2006/relationships/image" Target="../media/image37.png"/><Relationship Id="rId48" Type="http://schemas.openxmlformats.org/officeDocument/2006/relationships/hyperlink" Target="http://kupolok.com/" TargetMode="External"/><Relationship Id="rId8" Type="http://schemas.openxmlformats.org/officeDocument/2006/relationships/image" Target="../media/image8.png"/><Relationship Id="rId51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645040</xdr:colOff>
      <xdr:row>15</xdr:row>
      <xdr:rowOff>49702</xdr:rowOff>
    </xdr:from>
    <xdr:to>
      <xdr:col>14</xdr:col>
      <xdr:colOff>179473</xdr:colOff>
      <xdr:row>98</xdr:row>
      <xdr:rowOff>67924</xdr:rowOff>
    </xdr:to>
    <xdr:pic>
      <xdr:nvPicPr>
        <xdr:cNvPr id="36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5064640" y="4062902"/>
          <a:ext cx="5852683" cy="7701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216554</xdr:colOff>
      <xdr:row>343</xdr:row>
      <xdr:rowOff>65586</xdr:rowOff>
    </xdr:from>
    <xdr:to>
      <xdr:col>3</xdr:col>
      <xdr:colOff>812799</xdr:colOff>
      <xdr:row>383</xdr:row>
      <xdr:rowOff>53963</xdr:rowOff>
    </xdr:to>
    <xdr:pic>
      <xdr:nvPicPr>
        <xdr:cNvPr id="1911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978554" y="3577136"/>
          <a:ext cx="1796395" cy="5576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50426</xdr:colOff>
      <xdr:row>387</xdr:row>
      <xdr:rowOff>70971</xdr:rowOff>
    </xdr:from>
    <xdr:to>
      <xdr:col>13</xdr:col>
      <xdr:colOff>273195</xdr:colOff>
      <xdr:row>398</xdr:row>
      <xdr:rowOff>124330</xdr:rowOff>
    </xdr:to>
    <xdr:pic>
      <xdr:nvPicPr>
        <xdr:cNvPr id="1912" name="Рисунок 8" descr="юбка2_1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1104526" y="9729321"/>
          <a:ext cx="9284219" cy="1590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120650</xdr:colOff>
      <xdr:row>343</xdr:row>
      <xdr:rowOff>105786</xdr:rowOff>
    </xdr:from>
    <xdr:to>
      <xdr:col>7</xdr:col>
      <xdr:colOff>95249</xdr:colOff>
      <xdr:row>383</xdr:row>
      <xdr:rowOff>37818</xdr:rowOff>
    </xdr:to>
    <xdr:pic>
      <xdr:nvPicPr>
        <xdr:cNvPr id="1913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3422650" y="51686836"/>
          <a:ext cx="1758949" cy="5520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248124</xdr:colOff>
      <xdr:row>403</xdr:row>
      <xdr:rowOff>63505</xdr:rowOff>
    </xdr:from>
    <xdr:to>
      <xdr:col>13</xdr:col>
      <xdr:colOff>209099</xdr:colOff>
      <xdr:row>414</xdr:row>
      <xdr:rowOff>101603</xdr:rowOff>
    </xdr:to>
    <xdr:pic>
      <xdr:nvPicPr>
        <xdr:cNvPr id="1914" name="Рисунок 8" descr="юбка2_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 rot="5400000">
          <a:off x="5026038" y="8233241"/>
          <a:ext cx="1574798" cy="902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336550</xdr:colOff>
      <xdr:row>421</xdr:row>
      <xdr:rowOff>43100</xdr:rowOff>
    </xdr:from>
    <xdr:to>
      <xdr:col>12</xdr:col>
      <xdr:colOff>709164</xdr:colOff>
      <xdr:row>431</xdr:row>
      <xdr:rowOff>68261</xdr:rowOff>
    </xdr:to>
    <xdr:pic>
      <xdr:nvPicPr>
        <xdr:cNvPr id="1915" name="Рисунок 11" descr="купол 3 ч._3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 bwMode="auto">
        <a:xfrm>
          <a:off x="1390650" y="14451250"/>
          <a:ext cx="8684764" cy="1650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254001</xdr:colOff>
      <xdr:row>434</xdr:row>
      <xdr:rowOff>152227</xdr:rowOff>
    </xdr:from>
    <xdr:to>
      <xdr:col>13</xdr:col>
      <xdr:colOff>104589</xdr:colOff>
      <xdr:row>444</xdr:row>
      <xdr:rowOff>30618</xdr:rowOff>
    </xdr:to>
    <xdr:pic>
      <xdr:nvPicPr>
        <xdr:cNvPr id="1916" name="Рисунок 14" descr="купол 3 ч._3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>
          <a:off x="1308101" y="16681277"/>
          <a:ext cx="8912038" cy="1529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44072</xdr:colOff>
      <xdr:row>448</xdr:row>
      <xdr:rowOff>122538</xdr:rowOff>
    </xdr:from>
    <xdr:to>
      <xdr:col>12</xdr:col>
      <xdr:colOff>122880</xdr:colOff>
      <xdr:row>458</xdr:row>
      <xdr:rowOff>5596</xdr:rowOff>
    </xdr:to>
    <xdr:pic>
      <xdr:nvPicPr>
        <xdr:cNvPr id="1917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2006222" y="18962988"/>
          <a:ext cx="7482908" cy="1534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257666</xdr:colOff>
      <xdr:row>105</xdr:row>
      <xdr:rowOff>63251</xdr:rowOff>
    </xdr:from>
    <xdr:to>
      <xdr:col>13</xdr:col>
      <xdr:colOff>155754</xdr:colOff>
      <xdr:row>145</xdr:row>
      <xdr:rowOff>158</xdr:rowOff>
    </xdr:to>
    <xdr:pic>
      <xdr:nvPicPr>
        <xdr:cNvPr id="21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 bwMode="auto">
        <a:xfrm>
          <a:off x="1019666" y="12388601"/>
          <a:ext cx="9251638" cy="6540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343881</xdr:colOff>
      <xdr:row>187</xdr:row>
      <xdr:rowOff>121984</xdr:rowOff>
    </xdr:from>
    <xdr:to>
      <xdr:col>12</xdr:col>
      <xdr:colOff>696257</xdr:colOff>
      <xdr:row>240</xdr:row>
      <xdr:rowOff>97117</xdr:rowOff>
    </xdr:to>
    <xdr:pic>
      <xdr:nvPicPr>
        <xdr:cNvPr id="22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 bwMode="auto">
        <a:xfrm>
          <a:off x="1397234" y="48098102"/>
          <a:ext cx="8667141" cy="8685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52428</xdr:colOff>
      <xdr:row>483</xdr:row>
      <xdr:rowOff>21448</xdr:rowOff>
    </xdr:from>
    <xdr:to>
      <xdr:col>14</xdr:col>
      <xdr:colOff>50800</xdr:colOff>
      <xdr:row>495</xdr:row>
      <xdr:rowOff>204693</xdr:rowOff>
    </xdr:to>
    <xdr:pic>
      <xdr:nvPicPr>
        <xdr:cNvPr id="19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 bwMode="auto">
        <a:xfrm>
          <a:off x="814428" y="72290798"/>
          <a:ext cx="9974222" cy="2620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508192</xdr:colOff>
      <xdr:row>343</xdr:row>
      <xdr:rowOff>114301</xdr:rowOff>
    </xdr:from>
    <xdr:to>
      <xdr:col>10</xdr:col>
      <xdr:colOff>342659</xdr:colOff>
      <xdr:row>383</xdr:row>
      <xdr:rowOff>49977</xdr:rowOff>
    </xdr:to>
    <xdr:pic>
      <xdr:nvPicPr>
        <xdr:cNvPr id="24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 bwMode="auto">
        <a:xfrm>
          <a:off x="6261292" y="3625851"/>
          <a:ext cx="1733117" cy="5523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569742</xdr:colOff>
      <xdr:row>343</xdr:row>
      <xdr:rowOff>88901</xdr:rowOff>
    </xdr:from>
    <xdr:to>
      <xdr:col>13</xdr:col>
      <xdr:colOff>443842</xdr:colOff>
      <xdr:row>383</xdr:row>
      <xdr:rowOff>38100</xdr:rowOff>
    </xdr:to>
    <xdr:pic>
      <xdr:nvPicPr>
        <xdr:cNvPr id="25" name="Рисунок 8" descr="юбка_1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 bwMode="auto">
        <a:xfrm>
          <a:off x="8729492" y="3600451"/>
          <a:ext cx="1829900" cy="5537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31681</xdr:colOff>
      <xdr:row>146</xdr:row>
      <xdr:rowOff>79401</xdr:rowOff>
    </xdr:from>
    <xdr:to>
      <xdr:col>13</xdr:col>
      <xdr:colOff>143619</xdr:colOff>
      <xdr:row>187</xdr:row>
      <xdr:rowOff>2400</xdr:rowOff>
    </xdr:to>
    <xdr:pic>
      <xdr:nvPicPr>
        <xdr:cNvPr id="23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 bwMode="auto">
        <a:xfrm>
          <a:off x="793681" y="19453251"/>
          <a:ext cx="9465488" cy="6692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145301</xdr:colOff>
      <xdr:row>248</xdr:row>
      <xdr:rowOff>122148</xdr:rowOff>
    </xdr:from>
    <xdr:to>
      <xdr:col>13</xdr:col>
      <xdr:colOff>402354</xdr:colOff>
      <xdr:row>306</xdr:row>
      <xdr:rowOff>132228</xdr:rowOff>
    </xdr:to>
    <xdr:pic>
      <xdr:nvPicPr>
        <xdr:cNvPr id="27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 bwMode="auto">
        <a:xfrm>
          <a:off x="907301" y="36056798"/>
          <a:ext cx="9610603" cy="958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288764</xdr:colOff>
      <xdr:row>307</xdr:row>
      <xdr:rowOff>82078</xdr:rowOff>
    </xdr:from>
    <xdr:to>
      <xdr:col>7</xdr:col>
      <xdr:colOff>376620</xdr:colOff>
      <xdr:row>333</xdr:row>
      <xdr:rowOff>16062</xdr:rowOff>
    </xdr:to>
    <xdr:pic>
      <xdr:nvPicPr>
        <xdr:cNvPr id="28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 bwMode="auto">
        <a:xfrm>
          <a:off x="1050764" y="68140940"/>
          <a:ext cx="4410235" cy="4260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185305</xdr:colOff>
      <xdr:row>301</xdr:row>
      <xdr:rowOff>98136</xdr:rowOff>
    </xdr:from>
    <xdr:to>
      <xdr:col>8</xdr:col>
      <xdr:colOff>387350</xdr:colOff>
      <xdr:row>306</xdr:row>
      <xdr:rowOff>86590</xdr:rowOff>
    </xdr:to>
    <xdr:sp macro="" textlink="">
      <xdr:nvSpPr>
        <xdr:cNvPr id="29" name="Овал 28"/>
        <xdr:cNvSpPr/>
      </xdr:nvSpPr>
      <xdr:spPr>
        <a:xfrm>
          <a:off x="5271655" y="66207986"/>
          <a:ext cx="868795" cy="813954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6</xdr:col>
      <xdr:colOff>323852</xdr:colOff>
      <xdr:row>305</xdr:row>
      <xdr:rowOff>146053</xdr:rowOff>
    </xdr:from>
    <xdr:to>
      <xdr:col>7</xdr:col>
      <xdr:colOff>381001</xdr:colOff>
      <xdr:row>310</xdr:row>
      <xdr:rowOff>133354</xdr:rowOff>
    </xdr:to>
    <xdr:cxnSp macro="">
      <xdr:nvCxnSpPr>
        <xdr:cNvPr id="31" name="Прямая соединительная линия 30"/>
        <xdr:cNvCxnSpPr/>
      </xdr:nvCxnSpPr>
      <xdr:spPr>
        <a:xfrm rot="5400000">
          <a:off x="4699001" y="67290954"/>
          <a:ext cx="812801" cy="723899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1194921</xdr:colOff>
      <xdr:row>320</xdr:row>
      <xdr:rowOff>143809</xdr:rowOff>
    </xdr:from>
    <xdr:to>
      <xdr:col>4</xdr:col>
      <xdr:colOff>96371</xdr:colOff>
      <xdr:row>326</xdr:row>
      <xdr:rowOff>93756</xdr:rowOff>
    </xdr:to>
    <xdr:sp macro="" textlink="">
      <xdr:nvSpPr>
        <xdr:cNvPr id="34" name="Прямоугольник 33"/>
        <xdr:cNvSpPr/>
      </xdr:nvSpPr>
      <xdr:spPr>
        <a:xfrm>
          <a:off x="3159686" y="69724868"/>
          <a:ext cx="238685" cy="936064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279401</xdr:colOff>
      <xdr:row>307</xdr:row>
      <xdr:rowOff>95250</xdr:rowOff>
    </xdr:from>
    <xdr:to>
      <xdr:col>7</xdr:col>
      <xdr:colOff>368301</xdr:colOff>
      <xdr:row>333</xdr:row>
      <xdr:rowOff>0</xdr:rowOff>
    </xdr:to>
    <xdr:sp macro="" textlink="">
      <xdr:nvSpPr>
        <xdr:cNvPr id="35" name="Овал 34"/>
        <xdr:cNvSpPr/>
      </xdr:nvSpPr>
      <xdr:spPr>
        <a:xfrm>
          <a:off x="1041401" y="67525900"/>
          <a:ext cx="4413250" cy="419735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272973</xdr:colOff>
      <xdr:row>307</xdr:row>
      <xdr:rowOff>87587</xdr:rowOff>
    </xdr:from>
    <xdr:to>
      <xdr:col>13</xdr:col>
      <xdr:colOff>309476</xdr:colOff>
      <xdr:row>333</xdr:row>
      <xdr:rowOff>8758</xdr:rowOff>
    </xdr:to>
    <xdr:pic>
      <xdr:nvPicPr>
        <xdr:cNvPr id="44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 bwMode="auto">
        <a:xfrm>
          <a:off x="6026073" y="45763137"/>
          <a:ext cx="4398953" cy="4213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266701</xdr:colOff>
      <xdr:row>307</xdr:row>
      <xdr:rowOff>101600</xdr:rowOff>
    </xdr:from>
    <xdr:to>
      <xdr:col>13</xdr:col>
      <xdr:colOff>317501</xdr:colOff>
      <xdr:row>333</xdr:row>
      <xdr:rowOff>6350</xdr:rowOff>
    </xdr:to>
    <xdr:sp macro="" textlink="">
      <xdr:nvSpPr>
        <xdr:cNvPr id="47" name="Овал 46"/>
        <xdr:cNvSpPr/>
      </xdr:nvSpPr>
      <xdr:spPr>
        <a:xfrm>
          <a:off x="6019801" y="67532250"/>
          <a:ext cx="4413250" cy="419735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222253</xdr:colOff>
      <xdr:row>306</xdr:row>
      <xdr:rowOff>31753</xdr:rowOff>
    </xdr:from>
    <xdr:to>
      <xdr:col>8</xdr:col>
      <xdr:colOff>1009650</xdr:colOff>
      <xdr:row>310</xdr:row>
      <xdr:rowOff>146050</xdr:rowOff>
    </xdr:to>
    <xdr:cxnSp macro="">
      <xdr:nvCxnSpPr>
        <xdr:cNvPr id="48" name="Прямая соединительная линия 47"/>
        <xdr:cNvCxnSpPr/>
      </xdr:nvCxnSpPr>
      <xdr:spPr>
        <a:xfrm>
          <a:off x="5975353" y="67297303"/>
          <a:ext cx="787397" cy="774697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116784</xdr:colOff>
      <xdr:row>17</xdr:row>
      <xdr:rowOff>71783</xdr:rowOff>
    </xdr:from>
    <xdr:to>
      <xdr:col>10</xdr:col>
      <xdr:colOff>204305</xdr:colOff>
      <xdr:row>17</xdr:row>
      <xdr:rowOff>72334</xdr:rowOff>
    </xdr:to>
    <xdr:cxnSp macro="">
      <xdr:nvCxnSpPr>
        <xdr:cNvPr id="38" name="Прямая со стрелкой 37"/>
        <xdr:cNvCxnSpPr/>
      </xdr:nvCxnSpPr>
      <xdr:spPr>
        <a:xfrm flipV="1">
          <a:off x="878784" y="3180522"/>
          <a:ext cx="6978651" cy="551"/>
        </a:xfrm>
        <a:prstGeom prst="straightConnector1">
          <a:avLst/>
        </a:prstGeom>
        <a:ln cap="rnd"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148534</xdr:colOff>
      <xdr:row>24</xdr:row>
      <xdr:rowOff>8834</xdr:rowOff>
    </xdr:from>
    <xdr:to>
      <xdr:col>9</xdr:col>
      <xdr:colOff>546652</xdr:colOff>
      <xdr:row>24</xdr:row>
      <xdr:rowOff>16565</xdr:rowOff>
    </xdr:to>
    <xdr:cxnSp macro="">
      <xdr:nvCxnSpPr>
        <xdr:cNvPr id="39" name="Прямая со стрелкой 38"/>
        <xdr:cNvCxnSpPr/>
      </xdr:nvCxnSpPr>
      <xdr:spPr>
        <a:xfrm>
          <a:off x="910534" y="3774660"/>
          <a:ext cx="6499640" cy="7731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28</xdr:row>
      <xdr:rowOff>77304</xdr:rowOff>
    </xdr:from>
    <xdr:to>
      <xdr:col>10</xdr:col>
      <xdr:colOff>209827</xdr:colOff>
      <xdr:row>28</xdr:row>
      <xdr:rowOff>77305</xdr:rowOff>
    </xdr:to>
    <xdr:cxnSp macro="">
      <xdr:nvCxnSpPr>
        <xdr:cNvPr id="40" name="Прямая со стрелкой 39"/>
        <xdr:cNvCxnSpPr/>
      </xdr:nvCxnSpPr>
      <xdr:spPr>
        <a:xfrm>
          <a:off x="914400" y="4218608"/>
          <a:ext cx="6948557" cy="1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33</xdr:row>
      <xdr:rowOff>21534</xdr:rowOff>
    </xdr:from>
    <xdr:to>
      <xdr:col>10</xdr:col>
      <xdr:colOff>265044</xdr:colOff>
      <xdr:row>33</xdr:row>
      <xdr:rowOff>38652</xdr:rowOff>
    </xdr:to>
    <xdr:cxnSp macro="">
      <xdr:nvCxnSpPr>
        <xdr:cNvPr id="42" name="Прямая со стрелкой 41"/>
        <xdr:cNvCxnSpPr/>
      </xdr:nvCxnSpPr>
      <xdr:spPr>
        <a:xfrm>
          <a:off x="914400" y="4632186"/>
          <a:ext cx="7003774" cy="17118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37</xdr:row>
      <xdr:rowOff>72334</xdr:rowOff>
    </xdr:from>
    <xdr:to>
      <xdr:col>10</xdr:col>
      <xdr:colOff>27609</xdr:colOff>
      <xdr:row>38</xdr:row>
      <xdr:rowOff>0</xdr:rowOff>
    </xdr:to>
    <xdr:cxnSp macro="">
      <xdr:nvCxnSpPr>
        <xdr:cNvPr id="45" name="Прямая со стрелкой 44"/>
        <xdr:cNvCxnSpPr/>
      </xdr:nvCxnSpPr>
      <xdr:spPr>
        <a:xfrm>
          <a:off x="914400" y="5058464"/>
          <a:ext cx="6766339" cy="21536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127000</xdr:colOff>
      <xdr:row>42</xdr:row>
      <xdr:rowOff>38928</xdr:rowOff>
    </xdr:from>
    <xdr:to>
      <xdr:col>8</xdr:col>
      <xdr:colOff>712305</xdr:colOff>
      <xdr:row>42</xdr:row>
      <xdr:rowOff>71783</xdr:rowOff>
    </xdr:to>
    <xdr:cxnSp macro="">
      <xdr:nvCxnSpPr>
        <xdr:cNvPr id="49" name="Прямая со стрелкой 48"/>
        <xdr:cNvCxnSpPr/>
      </xdr:nvCxnSpPr>
      <xdr:spPr>
        <a:xfrm>
          <a:off x="889000" y="5494406"/>
          <a:ext cx="5576957" cy="32855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104913</xdr:colOff>
      <xdr:row>46</xdr:row>
      <xdr:rowOff>77579</xdr:rowOff>
    </xdr:from>
    <xdr:to>
      <xdr:col>9</xdr:col>
      <xdr:colOff>397565</xdr:colOff>
      <xdr:row>47</xdr:row>
      <xdr:rowOff>5522</xdr:rowOff>
    </xdr:to>
    <xdr:cxnSp macro="">
      <xdr:nvCxnSpPr>
        <xdr:cNvPr id="51" name="Прямая со стрелкой 50"/>
        <xdr:cNvCxnSpPr/>
      </xdr:nvCxnSpPr>
      <xdr:spPr>
        <a:xfrm>
          <a:off x="866913" y="5908536"/>
          <a:ext cx="6394174" cy="21812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138044</xdr:colOff>
      <xdr:row>52</xdr:row>
      <xdr:rowOff>27609</xdr:rowOff>
    </xdr:from>
    <xdr:to>
      <xdr:col>8</xdr:col>
      <xdr:colOff>1104348</xdr:colOff>
      <xdr:row>52</xdr:row>
      <xdr:rowOff>27884</xdr:rowOff>
    </xdr:to>
    <xdr:cxnSp macro="">
      <xdr:nvCxnSpPr>
        <xdr:cNvPr id="53" name="Прямая со стрелкой 52"/>
        <xdr:cNvCxnSpPr/>
      </xdr:nvCxnSpPr>
      <xdr:spPr>
        <a:xfrm flipV="1">
          <a:off x="900044" y="6399696"/>
          <a:ext cx="5957956" cy="275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138044</xdr:colOff>
      <xdr:row>57</xdr:row>
      <xdr:rowOff>22362</xdr:rowOff>
    </xdr:from>
    <xdr:to>
      <xdr:col>8</xdr:col>
      <xdr:colOff>1082261</xdr:colOff>
      <xdr:row>57</xdr:row>
      <xdr:rowOff>27609</xdr:rowOff>
    </xdr:to>
    <xdr:cxnSp macro="">
      <xdr:nvCxnSpPr>
        <xdr:cNvPr id="57" name="Прямая со стрелкой 56"/>
        <xdr:cNvCxnSpPr/>
      </xdr:nvCxnSpPr>
      <xdr:spPr>
        <a:xfrm>
          <a:off x="900044" y="6836188"/>
          <a:ext cx="5935869" cy="5247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110436</xdr:colOff>
      <xdr:row>61</xdr:row>
      <xdr:rowOff>77580</xdr:rowOff>
    </xdr:from>
    <xdr:to>
      <xdr:col>8</xdr:col>
      <xdr:colOff>872435</xdr:colOff>
      <xdr:row>62</xdr:row>
      <xdr:rowOff>16565</xdr:rowOff>
    </xdr:to>
    <xdr:cxnSp macro="">
      <xdr:nvCxnSpPr>
        <xdr:cNvPr id="58" name="Прямая со стрелкой 57"/>
        <xdr:cNvCxnSpPr/>
      </xdr:nvCxnSpPr>
      <xdr:spPr>
        <a:xfrm>
          <a:off x="872436" y="7244797"/>
          <a:ext cx="5753651" cy="27333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127001</xdr:colOff>
      <xdr:row>66</xdr:row>
      <xdr:rowOff>72057</xdr:rowOff>
    </xdr:from>
    <xdr:to>
      <xdr:col>8</xdr:col>
      <xdr:colOff>535609</xdr:colOff>
      <xdr:row>66</xdr:row>
      <xdr:rowOff>77304</xdr:rowOff>
    </xdr:to>
    <xdr:cxnSp macro="">
      <xdr:nvCxnSpPr>
        <xdr:cNvPr id="59" name="Прямая со стрелкой 58"/>
        <xdr:cNvCxnSpPr/>
      </xdr:nvCxnSpPr>
      <xdr:spPr>
        <a:xfrm>
          <a:off x="889001" y="7681014"/>
          <a:ext cx="5400260" cy="5247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149088</xdr:colOff>
      <xdr:row>71</xdr:row>
      <xdr:rowOff>33405</xdr:rowOff>
    </xdr:from>
    <xdr:to>
      <xdr:col>7</xdr:col>
      <xdr:colOff>331304</xdr:colOff>
      <xdr:row>71</xdr:row>
      <xdr:rowOff>49695</xdr:rowOff>
    </xdr:to>
    <xdr:cxnSp macro="">
      <xdr:nvCxnSpPr>
        <xdr:cNvPr id="62" name="Прямая со стрелкой 61"/>
        <xdr:cNvCxnSpPr/>
      </xdr:nvCxnSpPr>
      <xdr:spPr>
        <a:xfrm>
          <a:off x="911088" y="8084101"/>
          <a:ext cx="4505738" cy="16290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171175</xdr:colOff>
      <xdr:row>75</xdr:row>
      <xdr:rowOff>77304</xdr:rowOff>
    </xdr:from>
    <xdr:to>
      <xdr:col>12</xdr:col>
      <xdr:colOff>353392</xdr:colOff>
      <xdr:row>76</xdr:row>
      <xdr:rowOff>5798</xdr:rowOff>
    </xdr:to>
    <xdr:cxnSp macro="">
      <xdr:nvCxnSpPr>
        <xdr:cNvPr id="64" name="Прямая со стрелкой 63"/>
        <xdr:cNvCxnSpPr/>
      </xdr:nvCxnSpPr>
      <xdr:spPr>
        <a:xfrm flipV="1">
          <a:off x="933175" y="8481391"/>
          <a:ext cx="8790608" cy="16842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165653</xdr:colOff>
      <xdr:row>80</xdr:row>
      <xdr:rowOff>49696</xdr:rowOff>
    </xdr:from>
    <xdr:to>
      <xdr:col>11</xdr:col>
      <xdr:colOff>1093305</xdr:colOff>
      <xdr:row>80</xdr:row>
      <xdr:rowOff>77582</xdr:rowOff>
    </xdr:to>
    <xdr:cxnSp macro="">
      <xdr:nvCxnSpPr>
        <xdr:cNvPr id="66" name="Прямая со стрелкой 65"/>
        <xdr:cNvCxnSpPr/>
      </xdr:nvCxnSpPr>
      <xdr:spPr>
        <a:xfrm flipV="1">
          <a:off x="927653" y="8895522"/>
          <a:ext cx="8326782" cy="27886"/>
        </a:xfrm>
        <a:prstGeom prst="straightConnector1">
          <a:avLst/>
        </a:prstGeom>
        <a:ln>
          <a:solidFill>
            <a:srgbClr val="FF0000"/>
          </a:solidFill>
          <a:tailEnd type="oval" w="med" len="lg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177800</xdr:colOff>
      <xdr:row>2</xdr:row>
      <xdr:rowOff>89212</xdr:rowOff>
    </xdr:from>
    <xdr:to>
      <xdr:col>5</xdr:col>
      <xdr:colOff>146167</xdr:colOff>
      <xdr:row>3</xdr:row>
      <xdr:rowOff>259935</xdr:rowOff>
    </xdr:to>
    <xdr:pic>
      <xdr:nvPicPr>
        <xdr:cNvPr id="50" name="Рисунок 49" descr="IMG_20130723_16333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79800" y="692462"/>
          <a:ext cx="558917" cy="5771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12701</xdr:colOff>
      <xdr:row>3</xdr:row>
      <xdr:rowOff>366595</xdr:rowOff>
    </xdr:from>
    <xdr:to>
      <xdr:col>14</xdr:col>
      <xdr:colOff>6350</xdr:colOff>
      <xdr:row>5</xdr:row>
      <xdr:rowOff>165100</xdr:rowOff>
    </xdr:to>
    <xdr:grpSp>
      <xdr:nvGrpSpPr>
        <xdr:cNvPr id="92" name="Группа 91"/>
        <xdr:cNvGrpSpPr/>
      </xdr:nvGrpSpPr>
      <xdr:grpSpPr>
        <a:xfrm>
          <a:off x="774701" y="1376245"/>
          <a:ext cx="9969499" cy="611305"/>
          <a:chOff x="6351" y="905410"/>
          <a:chExt cx="11956005" cy="667088"/>
        </a:xfrm>
      </xdr:grpSpPr>
      <xdr:pic>
        <xdr:nvPicPr>
          <xdr:cNvPr id="52" name="Рисунок 5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351" y="915436"/>
            <a:ext cx="996949" cy="657062"/>
          </a:xfrm>
          <a:prstGeom prst="rect">
            <a:avLst/>
          </a:prstGeom>
        </xdr:spPr>
      </xdr:pic>
      <xdr:pic>
        <xdr:nvPicPr>
          <xdr:cNvPr id="55" name="Рисунок 5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02967" y="907678"/>
            <a:ext cx="996495" cy="657062"/>
          </a:xfrm>
          <a:prstGeom prst="rect">
            <a:avLst/>
          </a:prstGeom>
        </xdr:spPr>
      </xdr:pic>
      <xdr:pic>
        <xdr:nvPicPr>
          <xdr:cNvPr id="63" name="Рисунок 6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998556" y="907679"/>
            <a:ext cx="996495" cy="657062"/>
          </a:xfrm>
          <a:prstGeom prst="rect">
            <a:avLst/>
          </a:prstGeom>
        </xdr:spPr>
      </xdr:pic>
      <xdr:pic>
        <xdr:nvPicPr>
          <xdr:cNvPr id="65" name="Рисунок 6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2994145" y="907679"/>
            <a:ext cx="996495" cy="657062"/>
          </a:xfrm>
          <a:prstGeom prst="rect">
            <a:avLst/>
          </a:prstGeom>
        </xdr:spPr>
      </xdr:pic>
      <xdr:pic>
        <xdr:nvPicPr>
          <xdr:cNvPr id="67" name="Рисунок 6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992002" y="907678"/>
            <a:ext cx="996495" cy="657062"/>
          </a:xfrm>
          <a:prstGeom prst="rect">
            <a:avLst/>
          </a:prstGeom>
        </xdr:spPr>
      </xdr:pic>
      <xdr:pic>
        <xdr:nvPicPr>
          <xdr:cNvPr id="68" name="Рисунок 6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4985323" y="907678"/>
            <a:ext cx="996495" cy="657062"/>
          </a:xfrm>
          <a:prstGeom prst="rect">
            <a:avLst/>
          </a:prstGeom>
        </xdr:spPr>
      </xdr:pic>
      <xdr:pic>
        <xdr:nvPicPr>
          <xdr:cNvPr id="69" name="Рисунок 68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5983180" y="909946"/>
            <a:ext cx="996495" cy="657062"/>
          </a:xfrm>
          <a:prstGeom prst="rect">
            <a:avLst/>
          </a:prstGeom>
        </xdr:spPr>
      </xdr:pic>
      <xdr:pic>
        <xdr:nvPicPr>
          <xdr:cNvPr id="70" name="Рисунок 6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981037" y="909946"/>
            <a:ext cx="996495" cy="657062"/>
          </a:xfrm>
          <a:prstGeom prst="rect">
            <a:avLst/>
          </a:prstGeom>
        </xdr:spPr>
      </xdr:pic>
      <xdr:pic>
        <xdr:nvPicPr>
          <xdr:cNvPr id="71" name="Рисунок 7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7978894" y="907678"/>
            <a:ext cx="996495" cy="657062"/>
          </a:xfrm>
          <a:prstGeom prst="rect">
            <a:avLst/>
          </a:prstGeom>
        </xdr:spPr>
      </xdr:pic>
      <xdr:pic>
        <xdr:nvPicPr>
          <xdr:cNvPr id="72" name="Рисунок 7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8976751" y="905410"/>
            <a:ext cx="996495" cy="657062"/>
          </a:xfrm>
          <a:prstGeom prst="rect">
            <a:avLst/>
          </a:prstGeom>
        </xdr:spPr>
      </xdr:pic>
      <xdr:pic>
        <xdr:nvPicPr>
          <xdr:cNvPr id="73" name="Рисунок 7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9974607" y="905410"/>
            <a:ext cx="996495" cy="657062"/>
          </a:xfrm>
          <a:prstGeom prst="rect">
            <a:avLst/>
          </a:prstGeom>
        </xdr:spPr>
      </xdr:pic>
      <xdr:pic>
        <xdr:nvPicPr>
          <xdr:cNvPr id="74" name="Рисунок 73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965861" y="909946"/>
            <a:ext cx="996495" cy="6570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431800</xdr:colOff>
      <xdr:row>2</xdr:row>
      <xdr:rowOff>90579</xdr:rowOff>
    </xdr:from>
    <xdr:to>
      <xdr:col>7</xdr:col>
      <xdr:colOff>292296</xdr:colOff>
      <xdr:row>3</xdr:row>
      <xdr:rowOff>228599</xdr:rowOff>
    </xdr:to>
    <xdr:pic>
      <xdr:nvPicPr>
        <xdr:cNvPr id="93" name="Рисунок 92" descr="IMG_20130723_163339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51400" y="693829"/>
          <a:ext cx="527246" cy="5444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9</xdr:col>
      <xdr:colOff>758160</xdr:colOff>
      <xdr:row>2</xdr:row>
      <xdr:rowOff>112741</xdr:rowOff>
    </xdr:from>
    <xdr:to>
      <xdr:col>11</xdr:col>
      <xdr:colOff>1093</xdr:colOff>
      <xdr:row>3</xdr:row>
      <xdr:rowOff>228600</xdr:rowOff>
    </xdr:to>
    <xdr:pic>
      <xdr:nvPicPr>
        <xdr:cNvPr id="94" name="Рисунок 93" descr="IMG_20130723_163339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622510" y="715991"/>
          <a:ext cx="538333" cy="5222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8</xdr:col>
      <xdr:colOff>469900</xdr:colOff>
      <xdr:row>2</xdr:row>
      <xdr:rowOff>96929</xdr:rowOff>
    </xdr:from>
    <xdr:to>
      <xdr:col>8</xdr:col>
      <xdr:colOff>997145</xdr:colOff>
      <xdr:row>3</xdr:row>
      <xdr:rowOff>234949</xdr:rowOff>
    </xdr:to>
    <xdr:pic>
      <xdr:nvPicPr>
        <xdr:cNvPr id="95" name="Рисунок 94" descr="IMG_20130723_163339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223000" y="700179"/>
          <a:ext cx="527245" cy="5444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803771</xdr:colOff>
      <xdr:row>2</xdr:row>
      <xdr:rowOff>133350</xdr:rowOff>
    </xdr:from>
    <xdr:to>
      <xdr:col>12</xdr:col>
      <xdr:colOff>75438</xdr:colOff>
      <xdr:row>3</xdr:row>
      <xdr:rowOff>317500</xdr:rowOff>
    </xdr:to>
    <xdr:pic>
      <xdr:nvPicPr>
        <xdr:cNvPr id="97" name="Рисунок 96" descr="IMG_20130723_163339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963521" y="736600"/>
          <a:ext cx="478167" cy="590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11</xdr:col>
      <xdr:colOff>1099174</xdr:colOff>
      <xdr:row>469</xdr:row>
      <xdr:rowOff>164117</xdr:rowOff>
    </xdr:from>
    <xdr:to>
      <xdr:col>13</xdr:col>
      <xdr:colOff>119525</xdr:colOff>
      <xdr:row>475</xdr:row>
      <xdr:rowOff>155644</xdr:rowOff>
    </xdr:to>
    <xdr:pic>
      <xdr:nvPicPr>
        <xdr:cNvPr id="136" name="Рисунок 135" descr="IMG_20130723_163339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257056" y="70858293"/>
          <a:ext cx="977645" cy="9776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590550</xdr:colOff>
      <xdr:row>96</xdr:row>
      <xdr:rowOff>69850</xdr:rowOff>
    </xdr:from>
    <xdr:to>
      <xdr:col>29</xdr:col>
      <xdr:colOff>44450</xdr:colOff>
      <xdr:row>103</xdr:row>
      <xdr:rowOff>158750</xdr:rowOff>
    </xdr:to>
    <xdr:pic>
      <xdr:nvPicPr>
        <xdr:cNvPr id="149" name="Рисунок 148" descr="IMG_20130723_163339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706100" y="11576050"/>
          <a:ext cx="857250" cy="857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165100</xdr:colOff>
      <xdr:row>510</xdr:row>
      <xdr:rowOff>199248</xdr:rowOff>
    </xdr:from>
    <xdr:to>
      <xdr:col>13</xdr:col>
      <xdr:colOff>137779</xdr:colOff>
      <xdr:row>542</xdr:row>
      <xdr:rowOff>80469</xdr:rowOff>
    </xdr:to>
    <xdr:pic>
      <xdr:nvPicPr>
        <xdr:cNvPr id="151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 bwMode="auto">
        <a:xfrm>
          <a:off x="1219200" y="78120098"/>
          <a:ext cx="9034129" cy="6383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349249</xdr:colOff>
      <xdr:row>574</xdr:row>
      <xdr:rowOff>141724</xdr:rowOff>
    </xdr:from>
    <xdr:to>
      <xdr:col>12</xdr:col>
      <xdr:colOff>704850</xdr:colOff>
      <xdr:row>617</xdr:row>
      <xdr:rowOff>161772</xdr:rowOff>
    </xdr:to>
    <xdr:pic>
      <xdr:nvPicPr>
        <xdr:cNvPr id="152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 bwMode="auto">
        <a:xfrm>
          <a:off x="1402602" y="91006489"/>
          <a:ext cx="8670366" cy="869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328209</xdr:colOff>
      <xdr:row>547</xdr:row>
      <xdr:rowOff>182725</xdr:rowOff>
    </xdr:from>
    <xdr:to>
      <xdr:col>12</xdr:col>
      <xdr:colOff>739588</xdr:colOff>
      <xdr:row>571</xdr:row>
      <xdr:rowOff>87090</xdr:rowOff>
    </xdr:to>
    <xdr:pic>
      <xdr:nvPicPr>
        <xdr:cNvPr id="153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 bwMode="auto">
        <a:xfrm>
          <a:off x="1381562" y="85601431"/>
          <a:ext cx="8726144" cy="4745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652</xdr:row>
      <xdr:rowOff>30953</xdr:rowOff>
    </xdr:from>
    <xdr:to>
      <xdr:col>7</xdr:col>
      <xdr:colOff>412750</xdr:colOff>
      <xdr:row>673</xdr:row>
      <xdr:rowOff>122599</xdr:rowOff>
    </xdr:to>
    <xdr:pic>
      <xdr:nvPicPr>
        <xdr:cNvPr id="144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 bwMode="auto">
        <a:xfrm>
          <a:off x="914400" y="105079003"/>
          <a:ext cx="4584700" cy="275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120649</xdr:colOff>
      <xdr:row>652</xdr:row>
      <xdr:rowOff>19050</xdr:rowOff>
    </xdr:from>
    <xdr:to>
      <xdr:col>13</xdr:col>
      <xdr:colOff>532857</xdr:colOff>
      <xdr:row>673</xdr:row>
      <xdr:rowOff>113537</xdr:rowOff>
    </xdr:to>
    <xdr:pic>
      <xdr:nvPicPr>
        <xdr:cNvPr id="155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 bwMode="auto">
        <a:xfrm>
          <a:off x="5873749" y="104787700"/>
          <a:ext cx="4774658" cy="276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626</xdr:row>
      <xdr:rowOff>43652</xdr:rowOff>
    </xdr:from>
    <xdr:to>
      <xdr:col>7</xdr:col>
      <xdr:colOff>347222</xdr:colOff>
      <xdr:row>648</xdr:row>
      <xdr:rowOff>114300</xdr:rowOff>
    </xdr:to>
    <xdr:pic>
      <xdr:nvPicPr>
        <xdr:cNvPr id="156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 bwMode="auto">
        <a:xfrm>
          <a:off x="996950" y="101745252"/>
          <a:ext cx="4436622" cy="3283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412750</xdr:colOff>
      <xdr:row>622</xdr:row>
      <xdr:rowOff>63729</xdr:rowOff>
    </xdr:from>
    <xdr:to>
      <xdr:col>13</xdr:col>
      <xdr:colOff>336550</xdr:colOff>
      <xdr:row>648</xdr:row>
      <xdr:rowOff>87457</xdr:rowOff>
    </xdr:to>
    <xdr:pic>
      <xdr:nvPicPr>
        <xdr:cNvPr id="158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 bwMode="auto">
        <a:xfrm>
          <a:off x="6165850" y="101181129"/>
          <a:ext cx="4286250" cy="3821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707</xdr:row>
      <xdr:rowOff>30953</xdr:rowOff>
    </xdr:from>
    <xdr:to>
      <xdr:col>7</xdr:col>
      <xdr:colOff>412750</xdr:colOff>
      <xdr:row>728</xdr:row>
      <xdr:rowOff>122599</xdr:rowOff>
    </xdr:to>
    <xdr:pic>
      <xdr:nvPicPr>
        <xdr:cNvPr id="167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 bwMode="auto">
        <a:xfrm>
          <a:off x="914400" y="105091703"/>
          <a:ext cx="4584700" cy="275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120649</xdr:colOff>
      <xdr:row>707</xdr:row>
      <xdr:rowOff>19050</xdr:rowOff>
    </xdr:from>
    <xdr:to>
      <xdr:col>13</xdr:col>
      <xdr:colOff>532857</xdr:colOff>
      <xdr:row>728</xdr:row>
      <xdr:rowOff>113537</xdr:rowOff>
    </xdr:to>
    <xdr:pic>
      <xdr:nvPicPr>
        <xdr:cNvPr id="168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 bwMode="auto">
        <a:xfrm>
          <a:off x="5873749" y="105079800"/>
          <a:ext cx="4774658" cy="276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681</xdr:row>
      <xdr:rowOff>43652</xdr:rowOff>
    </xdr:from>
    <xdr:to>
      <xdr:col>7</xdr:col>
      <xdr:colOff>347222</xdr:colOff>
      <xdr:row>703</xdr:row>
      <xdr:rowOff>114300</xdr:rowOff>
    </xdr:to>
    <xdr:pic>
      <xdr:nvPicPr>
        <xdr:cNvPr id="169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 bwMode="auto">
        <a:xfrm>
          <a:off x="996950" y="101307102"/>
          <a:ext cx="4436622" cy="3283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412750</xdr:colOff>
      <xdr:row>677</xdr:row>
      <xdr:rowOff>63729</xdr:rowOff>
    </xdr:from>
    <xdr:to>
      <xdr:col>13</xdr:col>
      <xdr:colOff>336550</xdr:colOff>
      <xdr:row>703</xdr:row>
      <xdr:rowOff>87457</xdr:rowOff>
    </xdr:to>
    <xdr:pic>
      <xdr:nvPicPr>
        <xdr:cNvPr id="170" name="Рисунок 15" descr="купол 3 ч._3.pn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 bwMode="auto">
        <a:xfrm>
          <a:off x="6165850" y="100742979"/>
          <a:ext cx="4286250" cy="3821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25400</xdr:colOff>
      <xdr:row>761</xdr:row>
      <xdr:rowOff>19133</xdr:rowOff>
    </xdr:from>
    <xdr:to>
      <xdr:col>13</xdr:col>
      <xdr:colOff>596900</xdr:colOff>
      <xdr:row>806</xdr:row>
      <xdr:rowOff>76200</xdr:rowOff>
    </xdr:to>
    <xdr:pic>
      <xdr:nvPicPr>
        <xdr:cNvPr id="148" name="Рисунок 16" descr="свая тисэ_1_1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 bwMode="auto">
        <a:xfrm>
          <a:off x="6889750" y="120751683"/>
          <a:ext cx="3822700" cy="7473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100806</xdr:colOff>
      <xdr:row>775</xdr:row>
      <xdr:rowOff>51594</xdr:rowOff>
    </xdr:from>
    <xdr:to>
      <xdr:col>10</xdr:col>
      <xdr:colOff>102394</xdr:colOff>
      <xdr:row>776</xdr:row>
      <xdr:rowOff>70644</xdr:rowOff>
    </xdr:to>
    <xdr:cxnSp macro="">
      <xdr:nvCxnSpPr>
        <xdr:cNvPr id="160" name="Прямая соединительная линия 159"/>
        <xdr:cNvCxnSpPr/>
      </xdr:nvCxnSpPr>
      <xdr:spPr>
        <a:xfrm rot="5400000" flipH="1" flipV="1">
          <a:off x="7661275" y="122691525"/>
          <a:ext cx="184150" cy="15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170656</xdr:colOff>
      <xdr:row>775</xdr:row>
      <xdr:rowOff>32544</xdr:rowOff>
    </xdr:from>
    <xdr:to>
      <xdr:col>11</xdr:col>
      <xdr:colOff>172244</xdr:colOff>
      <xdr:row>776</xdr:row>
      <xdr:rowOff>51594</xdr:rowOff>
    </xdr:to>
    <xdr:cxnSp macro="">
      <xdr:nvCxnSpPr>
        <xdr:cNvPr id="161" name="Прямая соединительная линия 160"/>
        <xdr:cNvCxnSpPr/>
      </xdr:nvCxnSpPr>
      <xdr:spPr>
        <a:xfrm rot="5400000" flipH="1" flipV="1">
          <a:off x="8239125" y="122672475"/>
          <a:ext cx="184150" cy="15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</xdr:colOff>
      <xdr:row>775</xdr:row>
      <xdr:rowOff>152400</xdr:rowOff>
    </xdr:from>
    <xdr:to>
      <xdr:col>11</xdr:col>
      <xdr:colOff>745066</xdr:colOff>
      <xdr:row>775</xdr:row>
      <xdr:rowOff>153988</xdr:rowOff>
    </xdr:to>
    <xdr:cxnSp macro="">
      <xdr:nvCxnSpPr>
        <xdr:cNvPr id="162" name="Прямая соединительная линия 161"/>
        <xdr:cNvCxnSpPr/>
      </xdr:nvCxnSpPr>
      <xdr:spPr>
        <a:xfrm rot="10800000">
          <a:off x="7704667" y="122961400"/>
          <a:ext cx="1214966" cy="158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127000</xdr:colOff>
      <xdr:row>773</xdr:row>
      <xdr:rowOff>118533</xdr:rowOff>
    </xdr:from>
    <xdr:to>
      <xdr:col>11</xdr:col>
      <xdr:colOff>215900</xdr:colOff>
      <xdr:row>774</xdr:row>
      <xdr:rowOff>44449</xdr:rowOff>
    </xdr:to>
    <xdr:cxnSp macro="">
      <xdr:nvCxnSpPr>
        <xdr:cNvPr id="165" name="Прямая соединительная линия 164"/>
        <xdr:cNvCxnSpPr/>
      </xdr:nvCxnSpPr>
      <xdr:spPr>
        <a:xfrm rot="5400000">
          <a:off x="8300509" y="122928591"/>
          <a:ext cx="91016" cy="889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59267</xdr:colOff>
      <xdr:row>775</xdr:row>
      <xdr:rowOff>114300</xdr:rowOff>
    </xdr:from>
    <xdr:to>
      <xdr:col>10</xdr:col>
      <xdr:colOff>148167</xdr:colOff>
      <xdr:row>776</xdr:row>
      <xdr:rowOff>40216</xdr:rowOff>
    </xdr:to>
    <xdr:cxnSp macro="">
      <xdr:nvCxnSpPr>
        <xdr:cNvPr id="172" name="Прямая соединительная линия 171"/>
        <xdr:cNvCxnSpPr/>
      </xdr:nvCxnSpPr>
      <xdr:spPr>
        <a:xfrm rot="5400000">
          <a:off x="7724776" y="122924358"/>
          <a:ext cx="91016" cy="889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131051</xdr:colOff>
      <xdr:row>775</xdr:row>
      <xdr:rowOff>103258</xdr:rowOff>
    </xdr:from>
    <xdr:to>
      <xdr:col>11</xdr:col>
      <xdr:colOff>219951</xdr:colOff>
      <xdr:row>776</xdr:row>
      <xdr:rowOff>29174</xdr:rowOff>
    </xdr:to>
    <xdr:cxnSp macro="">
      <xdr:nvCxnSpPr>
        <xdr:cNvPr id="174" name="Прямая соединительная линия 173"/>
        <xdr:cNvCxnSpPr/>
      </xdr:nvCxnSpPr>
      <xdr:spPr>
        <a:xfrm rot="5400000">
          <a:off x="8290847" y="122615418"/>
          <a:ext cx="91568" cy="889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176647</xdr:colOff>
      <xdr:row>805</xdr:row>
      <xdr:rowOff>137220</xdr:rowOff>
    </xdr:from>
    <xdr:to>
      <xdr:col>13</xdr:col>
      <xdr:colOff>212076</xdr:colOff>
      <xdr:row>852</xdr:row>
      <xdr:rowOff>117178</xdr:rowOff>
    </xdr:to>
    <xdr:pic>
      <xdr:nvPicPr>
        <xdr:cNvPr id="175" name="Рисунок 16" descr="свая тисэ_1_1.pn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 bwMode="auto">
        <a:xfrm>
          <a:off x="1230747" y="128115120"/>
          <a:ext cx="9096879" cy="5809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136403</xdr:colOff>
      <xdr:row>763</xdr:row>
      <xdr:rowOff>63601</xdr:rowOff>
    </xdr:from>
    <xdr:to>
      <xdr:col>6</xdr:col>
      <xdr:colOff>361950</xdr:colOff>
      <xdr:row>786</xdr:row>
      <xdr:rowOff>18714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 bwMode="auto">
        <a:xfrm>
          <a:off x="898403" y="120815201"/>
          <a:ext cx="3883147" cy="37206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1193800</xdr:colOff>
      <xdr:row>784</xdr:row>
      <xdr:rowOff>6350</xdr:rowOff>
    </xdr:from>
    <xdr:to>
      <xdr:col>8</xdr:col>
      <xdr:colOff>1104900</xdr:colOff>
      <xdr:row>784</xdr:row>
      <xdr:rowOff>19050</xdr:rowOff>
    </xdr:to>
    <xdr:cxnSp macro="">
      <xdr:nvCxnSpPr>
        <xdr:cNvPr id="157" name="Прямая со стрелкой 156"/>
        <xdr:cNvCxnSpPr/>
      </xdr:nvCxnSpPr>
      <xdr:spPr>
        <a:xfrm rot="10800000">
          <a:off x="3155950" y="124193300"/>
          <a:ext cx="37020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298450</xdr:colOff>
      <xdr:row>773</xdr:row>
      <xdr:rowOff>139700</xdr:rowOff>
    </xdr:from>
    <xdr:to>
      <xdr:col>9</xdr:col>
      <xdr:colOff>12700</xdr:colOff>
      <xdr:row>773</xdr:row>
      <xdr:rowOff>153988</xdr:rowOff>
    </xdr:to>
    <xdr:cxnSp macro="">
      <xdr:nvCxnSpPr>
        <xdr:cNvPr id="166" name="Прямая со стрелкой 165"/>
        <xdr:cNvCxnSpPr/>
      </xdr:nvCxnSpPr>
      <xdr:spPr>
        <a:xfrm rot="10800000">
          <a:off x="3600450" y="122542300"/>
          <a:ext cx="3276600" cy="142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393700</xdr:colOff>
      <xdr:row>778</xdr:row>
      <xdr:rowOff>133350</xdr:rowOff>
    </xdr:from>
    <xdr:to>
      <xdr:col>8</xdr:col>
      <xdr:colOff>1092200</xdr:colOff>
      <xdr:row>778</xdr:row>
      <xdr:rowOff>139700</xdr:rowOff>
    </xdr:to>
    <xdr:cxnSp macro="">
      <xdr:nvCxnSpPr>
        <xdr:cNvPr id="185" name="Прямая со стрелкой 184"/>
        <xdr:cNvCxnSpPr/>
      </xdr:nvCxnSpPr>
      <xdr:spPr>
        <a:xfrm rot="10800000">
          <a:off x="3695700" y="123361450"/>
          <a:ext cx="31496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140348</xdr:colOff>
      <xdr:row>859</xdr:row>
      <xdr:rowOff>42740</xdr:rowOff>
    </xdr:from>
    <xdr:to>
      <xdr:col>13</xdr:col>
      <xdr:colOff>424801</xdr:colOff>
      <xdr:row>924</xdr:row>
      <xdr:rowOff>101600</xdr:rowOff>
    </xdr:to>
    <xdr:pic>
      <xdr:nvPicPr>
        <xdr:cNvPr id="191" name="Рисунок 3" descr="пятно фундамента 2_1.pn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 bwMode="auto">
        <a:xfrm>
          <a:off x="902348" y="134738940"/>
          <a:ext cx="9638003" cy="9552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1206500</xdr:colOff>
      <xdr:row>768</xdr:row>
      <xdr:rowOff>139700</xdr:rowOff>
    </xdr:from>
    <xdr:to>
      <xdr:col>9</xdr:col>
      <xdr:colOff>6350</xdr:colOff>
      <xdr:row>768</xdr:row>
      <xdr:rowOff>152400</xdr:rowOff>
    </xdr:to>
    <xdr:cxnSp macro="">
      <xdr:nvCxnSpPr>
        <xdr:cNvPr id="164" name="Прямая со стрелкой 163"/>
        <xdr:cNvCxnSpPr/>
      </xdr:nvCxnSpPr>
      <xdr:spPr>
        <a:xfrm rot="10800000">
          <a:off x="3168650" y="121716800"/>
          <a:ext cx="37020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1136650</xdr:colOff>
      <xdr:row>769</xdr:row>
      <xdr:rowOff>146050</xdr:rowOff>
    </xdr:from>
    <xdr:to>
      <xdr:col>9</xdr:col>
      <xdr:colOff>12700</xdr:colOff>
      <xdr:row>769</xdr:row>
      <xdr:rowOff>152400</xdr:rowOff>
    </xdr:to>
    <xdr:cxnSp macro="">
      <xdr:nvCxnSpPr>
        <xdr:cNvPr id="171" name="Прямая со стрелкой 170"/>
        <xdr:cNvCxnSpPr/>
      </xdr:nvCxnSpPr>
      <xdr:spPr>
        <a:xfrm rot="10800000">
          <a:off x="3098800" y="121888250"/>
          <a:ext cx="377825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</xdr:colOff>
      <xdr:row>777</xdr:row>
      <xdr:rowOff>127000</xdr:rowOff>
    </xdr:from>
    <xdr:to>
      <xdr:col>9</xdr:col>
      <xdr:colOff>6350</xdr:colOff>
      <xdr:row>777</xdr:row>
      <xdr:rowOff>141288</xdr:rowOff>
    </xdr:to>
    <xdr:cxnSp macro="">
      <xdr:nvCxnSpPr>
        <xdr:cNvPr id="177" name="Прямая со стрелкой 176"/>
        <xdr:cNvCxnSpPr/>
      </xdr:nvCxnSpPr>
      <xdr:spPr>
        <a:xfrm rot="10800000">
          <a:off x="3327400" y="123190000"/>
          <a:ext cx="3543300" cy="142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596899</xdr:colOff>
      <xdr:row>953</xdr:row>
      <xdr:rowOff>133350</xdr:rowOff>
    </xdr:from>
    <xdr:to>
      <xdr:col>13</xdr:col>
      <xdr:colOff>595160</xdr:colOff>
      <xdr:row>981</xdr:row>
      <xdr:rowOff>76200</xdr:rowOff>
    </xdr:to>
    <xdr:pic>
      <xdr:nvPicPr>
        <xdr:cNvPr id="154" name="Рисунок 153" descr="пирог перекрытия.pn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16499" y="148602700"/>
          <a:ext cx="5694211" cy="403225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962</xdr:row>
      <xdr:rowOff>6350</xdr:rowOff>
    </xdr:from>
    <xdr:to>
      <xdr:col>8</xdr:col>
      <xdr:colOff>828675</xdr:colOff>
      <xdr:row>962</xdr:row>
      <xdr:rowOff>19050</xdr:rowOff>
    </xdr:to>
    <xdr:cxnSp macro="">
      <xdr:nvCxnSpPr>
        <xdr:cNvPr id="159" name="Прямая со стрелкой 158"/>
        <xdr:cNvCxnSpPr/>
      </xdr:nvCxnSpPr>
      <xdr:spPr>
        <a:xfrm>
          <a:off x="1041400" y="149790150"/>
          <a:ext cx="5540375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964</xdr:row>
      <xdr:rowOff>12700</xdr:rowOff>
    </xdr:from>
    <xdr:to>
      <xdr:col>7</xdr:col>
      <xdr:colOff>292100</xdr:colOff>
      <xdr:row>964</xdr:row>
      <xdr:rowOff>14288</xdr:rowOff>
    </xdr:to>
    <xdr:cxnSp macro="">
      <xdr:nvCxnSpPr>
        <xdr:cNvPr id="179" name="Прямая со стрелкой 178"/>
        <xdr:cNvCxnSpPr/>
      </xdr:nvCxnSpPr>
      <xdr:spPr>
        <a:xfrm>
          <a:off x="1047750" y="150088600"/>
          <a:ext cx="433070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968</xdr:row>
      <xdr:rowOff>6350</xdr:rowOff>
    </xdr:from>
    <xdr:to>
      <xdr:col>8</xdr:col>
      <xdr:colOff>539750</xdr:colOff>
      <xdr:row>968</xdr:row>
      <xdr:rowOff>19050</xdr:rowOff>
    </xdr:to>
    <xdr:cxnSp macro="">
      <xdr:nvCxnSpPr>
        <xdr:cNvPr id="181" name="Прямая со стрелкой 180"/>
        <xdr:cNvCxnSpPr/>
      </xdr:nvCxnSpPr>
      <xdr:spPr>
        <a:xfrm>
          <a:off x="1054100" y="150666450"/>
          <a:ext cx="52387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972</xdr:row>
      <xdr:rowOff>0</xdr:rowOff>
    </xdr:from>
    <xdr:to>
      <xdr:col>8</xdr:col>
      <xdr:colOff>565150</xdr:colOff>
      <xdr:row>972</xdr:row>
      <xdr:rowOff>6350</xdr:rowOff>
    </xdr:to>
    <xdr:cxnSp macro="">
      <xdr:nvCxnSpPr>
        <xdr:cNvPr id="183" name="Прямая со стрелкой 182"/>
        <xdr:cNvCxnSpPr/>
      </xdr:nvCxnSpPr>
      <xdr:spPr>
        <a:xfrm>
          <a:off x="1047750" y="151244300"/>
          <a:ext cx="52705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976</xdr:row>
      <xdr:rowOff>0</xdr:rowOff>
    </xdr:from>
    <xdr:to>
      <xdr:col>11</xdr:col>
      <xdr:colOff>971550</xdr:colOff>
      <xdr:row>976</xdr:row>
      <xdr:rowOff>1588</xdr:rowOff>
    </xdr:to>
    <xdr:cxnSp macro="">
      <xdr:nvCxnSpPr>
        <xdr:cNvPr id="186" name="Прямая со стрелкой 185"/>
        <xdr:cNvCxnSpPr/>
      </xdr:nvCxnSpPr>
      <xdr:spPr>
        <a:xfrm>
          <a:off x="1047750" y="151828500"/>
          <a:ext cx="808355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979</xdr:row>
      <xdr:rowOff>139700</xdr:rowOff>
    </xdr:from>
    <xdr:to>
      <xdr:col>11</xdr:col>
      <xdr:colOff>673100</xdr:colOff>
      <xdr:row>979</xdr:row>
      <xdr:rowOff>141288</xdr:rowOff>
    </xdr:to>
    <xdr:cxnSp macro="">
      <xdr:nvCxnSpPr>
        <xdr:cNvPr id="188" name="Прямая со стрелкой 187"/>
        <xdr:cNvCxnSpPr/>
      </xdr:nvCxnSpPr>
      <xdr:spPr>
        <a:xfrm>
          <a:off x="1047750" y="152406350"/>
          <a:ext cx="778510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273050</xdr:colOff>
      <xdr:row>973</xdr:row>
      <xdr:rowOff>133350</xdr:rowOff>
    </xdr:from>
    <xdr:to>
      <xdr:col>11</xdr:col>
      <xdr:colOff>82550</xdr:colOff>
      <xdr:row>974</xdr:row>
      <xdr:rowOff>12700</xdr:rowOff>
    </xdr:to>
    <xdr:cxnSp macro="">
      <xdr:nvCxnSpPr>
        <xdr:cNvPr id="193" name="Прямая со стрелкой 192"/>
        <xdr:cNvCxnSpPr/>
      </xdr:nvCxnSpPr>
      <xdr:spPr>
        <a:xfrm flipV="1">
          <a:off x="1035050" y="151523700"/>
          <a:ext cx="7207250" cy="254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977</xdr:row>
      <xdr:rowOff>139700</xdr:rowOff>
    </xdr:from>
    <xdr:to>
      <xdr:col>11</xdr:col>
      <xdr:colOff>488950</xdr:colOff>
      <xdr:row>977</xdr:row>
      <xdr:rowOff>141288</xdr:rowOff>
    </xdr:to>
    <xdr:cxnSp macro="">
      <xdr:nvCxnSpPr>
        <xdr:cNvPr id="197" name="Прямая со стрелкой 196"/>
        <xdr:cNvCxnSpPr/>
      </xdr:nvCxnSpPr>
      <xdr:spPr>
        <a:xfrm>
          <a:off x="1047750" y="152114250"/>
          <a:ext cx="760095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969</xdr:row>
      <xdr:rowOff>139700</xdr:rowOff>
    </xdr:from>
    <xdr:to>
      <xdr:col>11</xdr:col>
      <xdr:colOff>215900</xdr:colOff>
      <xdr:row>970</xdr:row>
      <xdr:rowOff>25400</xdr:rowOff>
    </xdr:to>
    <xdr:cxnSp macro="">
      <xdr:nvCxnSpPr>
        <xdr:cNvPr id="199" name="Прямая со стрелкой 198"/>
        <xdr:cNvCxnSpPr/>
      </xdr:nvCxnSpPr>
      <xdr:spPr>
        <a:xfrm>
          <a:off x="1028700" y="150945850"/>
          <a:ext cx="7346950" cy="317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966</xdr:row>
      <xdr:rowOff>0</xdr:rowOff>
    </xdr:from>
    <xdr:to>
      <xdr:col>7</xdr:col>
      <xdr:colOff>184150</xdr:colOff>
      <xdr:row>966</xdr:row>
      <xdr:rowOff>12700</xdr:rowOff>
    </xdr:to>
    <xdr:cxnSp macro="">
      <xdr:nvCxnSpPr>
        <xdr:cNvPr id="201" name="Прямая со стрелкой 200"/>
        <xdr:cNvCxnSpPr/>
      </xdr:nvCxnSpPr>
      <xdr:spPr>
        <a:xfrm>
          <a:off x="1041400" y="150368000"/>
          <a:ext cx="422910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</xdr:colOff>
      <xdr:row>1002</xdr:row>
      <xdr:rowOff>0</xdr:rowOff>
    </xdr:from>
    <xdr:to>
      <xdr:col>13</xdr:col>
      <xdr:colOff>608427</xdr:colOff>
      <xdr:row>1019</xdr:row>
      <xdr:rowOff>164353</xdr:rowOff>
    </xdr:to>
    <xdr:pic>
      <xdr:nvPicPr>
        <xdr:cNvPr id="163" name="Рисунок 162" descr="перекрытие второго схема крепления_06.pn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2001" y="156105412"/>
          <a:ext cx="9961602" cy="3645647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1021</xdr:row>
      <xdr:rowOff>178356</xdr:rowOff>
    </xdr:from>
    <xdr:to>
      <xdr:col>12</xdr:col>
      <xdr:colOff>732583</xdr:colOff>
      <xdr:row>1043</xdr:row>
      <xdr:rowOff>5794</xdr:rowOff>
    </xdr:to>
    <xdr:pic>
      <xdr:nvPicPr>
        <xdr:cNvPr id="173" name="Рисунок 172" descr="перекрытие второго схема крепления узел2.pn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57300" y="159811006"/>
          <a:ext cx="8841533" cy="5415438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196850</xdr:colOff>
      <xdr:row>1045</xdr:row>
      <xdr:rowOff>67079</xdr:rowOff>
    </xdr:from>
    <xdr:to>
      <xdr:col>14</xdr:col>
      <xdr:colOff>40692</xdr:colOff>
      <xdr:row>1067</xdr:row>
      <xdr:rowOff>129771</xdr:rowOff>
    </xdr:to>
    <xdr:pic>
      <xdr:nvPicPr>
        <xdr:cNvPr id="176" name="Рисунок 175" descr="перекрытие второго схема крепления узел2.pn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50950" y="165795729"/>
          <a:ext cx="9527592" cy="5650692"/>
        </a:xfrm>
        <a:prstGeom prst="rect">
          <a:avLst/>
        </a:prstGeom>
      </xdr:spPr>
    </xdr:pic>
    <xdr:clientData/>
  </xdr:twoCellAnchor>
  <xdr:twoCellAnchor editAs="oneCell">
    <xdr:from>
      <xdr:col>6</xdr:col>
      <xdr:colOff>596899</xdr:colOff>
      <xdr:row>1072</xdr:row>
      <xdr:rowOff>55311</xdr:rowOff>
    </xdr:from>
    <xdr:to>
      <xdr:col>13</xdr:col>
      <xdr:colOff>595160</xdr:colOff>
      <xdr:row>1099</xdr:row>
      <xdr:rowOff>109788</xdr:rowOff>
    </xdr:to>
    <xdr:pic>
      <xdr:nvPicPr>
        <xdr:cNvPr id="178" name="Рисунок 177" descr="пирог перекрытия.pn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16499" y="172299061"/>
          <a:ext cx="5694211" cy="3826377"/>
        </a:xfrm>
        <a:prstGeom prst="rect">
          <a:avLst/>
        </a:prstGeom>
      </xdr:spPr>
    </xdr:pic>
    <xdr:clientData/>
  </xdr:twoCellAnchor>
  <xdr:twoCellAnchor>
    <xdr:from>
      <xdr:col>1</xdr:col>
      <xdr:colOff>273050</xdr:colOff>
      <xdr:row>1082</xdr:row>
      <xdr:rowOff>12700</xdr:rowOff>
    </xdr:from>
    <xdr:to>
      <xdr:col>8</xdr:col>
      <xdr:colOff>822325</xdr:colOff>
      <xdr:row>1082</xdr:row>
      <xdr:rowOff>25400</xdr:rowOff>
    </xdr:to>
    <xdr:cxnSp macro="">
      <xdr:nvCxnSpPr>
        <xdr:cNvPr id="180" name="Прямая со стрелкой 179"/>
        <xdr:cNvCxnSpPr/>
      </xdr:nvCxnSpPr>
      <xdr:spPr>
        <a:xfrm>
          <a:off x="1035050" y="173653450"/>
          <a:ext cx="5540375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1086</xdr:row>
      <xdr:rowOff>6350</xdr:rowOff>
    </xdr:from>
    <xdr:to>
      <xdr:col>8</xdr:col>
      <xdr:colOff>539750</xdr:colOff>
      <xdr:row>1086</xdr:row>
      <xdr:rowOff>19050</xdr:rowOff>
    </xdr:to>
    <xdr:cxnSp macro="">
      <xdr:nvCxnSpPr>
        <xdr:cNvPr id="184" name="Прямая со стрелкой 183"/>
        <xdr:cNvCxnSpPr/>
      </xdr:nvCxnSpPr>
      <xdr:spPr>
        <a:xfrm>
          <a:off x="1054100" y="150666450"/>
          <a:ext cx="52387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1090</xdr:row>
      <xdr:rowOff>6350</xdr:rowOff>
    </xdr:from>
    <xdr:to>
      <xdr:col>9</xdr:col>
      <xdr:colOff>514350</xdr:colOff>
      <xdr:row>1090</xdr:row>
      <xdr:rowOff>7938</xdr:rowOff>
    </xdr:to>
    <xdr:cxnSp macro="">
      <xdr:nvCxnSpPr>
        <xdr:cNvPr id="187" name="Прямая со стрелкой 186"/>
        <xdr:cNvCxnSpPr/>
      </xdr:nvCxnSpPr>
      <xdr:spPr>
        <a:xfrm>
          <a:off x="1054100" y="174764700"/>
          <a:ext cx="6324600" cy="1588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1094</xdr:row>
      <xdr:rowOff>0</xdr:rowOff>
    </xdr:from>
    <xdr:to>
      <xdr:col>11</xdr:col>
      <xdr:colOff>660400</xdr:colOff>
      <xdr:row>1094</xdr:row>
      <xdr:rowOff>6350</xdr:rowOff>
    </xdr:to>
    <xdr:cxnSp macro="">
      <xdr:nvCxnSpPr>
        <xdr:cNvPr id="189" name="Прямая со стрелкой 188"/>
        <xdr:cNvCxnSpPr/>
      </xdr:nvCxnSpPr>
      <xdr:spPr>
        <a:xfrm>
          <a:off x="1047750" y="175317150"/>
          <a:ext cx="77724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1097</xdr:row>
      <xdr:rowOff>133350</xdr:rowOff>
    </xdr:from>
    <xdr:to>
      <xdr:col>11</xdr:col>
      <xdr:colOff>25400</xdr:colOff>
      <xdr:row>1098</xdr:row>
      <xdr:rowOff>0</xdr:rowOff>
    </xdr:to>
    <xdr:cxnSp macro="">
      <xdr:nvCxnSpPr>
        <xdr:cNvPr id="190" name="Прямая со стрелкой 189"/>
        <xdr:cNvCxnSpPr/>
      </xdr:nvCxnSpPr>
      <xdr:spPr>
        <a:xfrm flipV="1">
          <a:off x="1047750" y="175869600"/>
          <a:ext cx="71374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1091</xdr:row>
      <xdr:rowOff>127000</xdr:rowOff>
    </xdr:from>
    <xdr:to>
      <xdr:col>10</xdr:col>
      <xdr:colOff>298450</xdr:colOff>
      <xdr:row>1092</xdr:row>
      <xdr:rowOff>6350</xdr:rowOff>
    </xdr:to>
    <xdr:cxnSp macro="">
      <xdr:nvCxnSpPr>
        <xdr:cNvPr id="192" name="Прямая со стрелкой 191"/>
        <xdr:cNvCxnSpPr/>
      </xdr:nvCxnSpPr>
      <xdr:spPr>
        <a:xfrm flipV="1">
          <a:off x="1047750" y="175025050"/>
          <a:ext cx="6902450" cy="190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1096</xdr:row>
      <xdr:rowOff>0</xdr:rowOff>
    </xdr:from>
    <xdr:to>
      <xdr:col>11</xdr:col>
      <xdr:colOff>114300</xdr:colOff>
      <xdr:row>1096</xdr:row>
      <xdr:rowOff>6350</xdr:rowOff>
    </xdr:to>
    <xdr:cxnSp macro="">
      <xdr:nvCxnSpPr>
        <xdr:cNvPr id="195" name="Прямая со стрелкой 194"/>
        <xdr:cNvCxnSpPr/>
      </xdr:nvCxnSpPr>
      <xdr:spPr>
        <a:xfrm>
          <a:off x="1047750" y="175596550"/>
          <a:ext cx="7226300" cy="63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1087</xdr:row>
      <xdr:rowOff>139700</xdr:rowOff>
    </xdr:from>
    <xdr:to>
      <xdr:col>11</xdr:col>
      <xdr:colOff>215900</xdr:colOff>
      <xdr:row>1088</xdr:row>
      <xdr:rowOff>25400</xdr:rowOff>
    </xdr:to>
    <xdr:cxnSp macro="">
      <xdr:nvCxnSpPr>
        <xdr:cNvPr id="196" name="Прямая со стрелкой 195"/>
        <xdr:cNvCxnSpPr/>
      </xdr:nvCxnSpPr>
      <xdr:spPr>
        <a:xfrm>
          <a:off x="1028700" y="150945850"/>
          <a:ext cx="7346950" cy="3175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1084</xdr:row>
      <xdr:rowOff>0</xdr:rowOff>
    </xdr:from>
    <xdr:to>
      <xdr:col>7</xdr:col>
      <xdr:colOff>215900</xdr:colOff>
      <xdr:row>1084</xdr:row>
      <xdr:rowOff>12700</xdr:rowOff>
    </xdr:to>
    <xdr:cxnSp macro="">
      <xdr:nvCxnSpPr>
        <xdr:cNvPr id="198" name="Прямая со стрелкой 197"/>
        <xdr:cNvCxnSpPr/>
      </xdr:nvCxnSpPr>
      <xdr:spPr>
        <a:xfrm>
          <a:off x="1041400" y="173920150"/>
          <a:ext cx="4260850" cy="12700"/>
        </a:xfrm>
        <a:prstGeom prst="straightConnector1">
          <a:avLst/>
        </a:prstGeom>
        <a:ln w="12700">
          <a:solidFill>
            <a:srgbClr val="FF0000"/>
          </a:solidFill>
          <a:tailEnd type="oval" w="med" len="med"/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736600</xdr:colOff>
      <xdr:row>1129</xdr:row>
      <xdr:rowOff>38100</xdr:rowOff>
    </xdr:from>
    <xdr:to>
      <xdr:col>14</xdr:col>
      <xdr:colOff>6349</xdr:colOff>
      <xdr:row>1133</xdr:row>
      <xdr:rowOff>6350</xdr:rowOff>
    </xdr:to>
    <xdr:grpSp>
      <xdr:nvGrpSpPr>
        <xdr:cNvPr id="209" name="Группа 208"/>
        <xdr:cNvGrpSpPr/>
      </xdr:nvGrpSpPr>
      <xdr:grpSpPr>
        <a:xfrm>
          <a:off x="736600" y="180625750"/>
          <a:ext cx="10007599" cy="527050"/>
          <a:chOff x="6351" y="905410"/>
          <a:chExt cx="11956005" cy="667088"/>
        </a:xfrm>
      </xdr:grpSpPr>
      <xdr:pic>
        <xdr:nvPicPr>
          <xdr:cNvPr id="210" name="Рисунок 20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351" y="915436"/>
            <a:ext cx="996949" cy="657062"/>
          </a:xfrm>
          <a:prstGeom prst="rect">
            <a:avLst/>
          </a:prstGeom>
        </xdr:spPr>
      </xdr:pic>
      <xdr:pic>
        <xdr:nvPicPr>
          <xdr:cNvPr id="211" name="Рисунок 21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02967" y="907678"/>
            <a:ext cx="996495" cy="657062"/>
          </a:xfrm>
          <a:prstGeom prst="rect">
            <a:avLst/>
          </a:prstGeom>
        </xdr:spPr>
      </xdr:pic>
      <xdr:pic>
        <xdr:nvPicPr>
          <xdr:cNvPr id="212" name="Рисунок 211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998556" y="907679"/>
            <a:ext cx="996495" cy="657062"/>
          </a:xfrm>
          <a:prstGeom prst="rect">
            <a:avLst/>
          </a:prstGeom>
        </xdr:spPr>
      </xdr:pic>
      <xdr:pic>
        <xdr:nvPicPr>
          <xdr:cNvPr id="213" name="Рисунок 212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2994145" y="907679"/>
            <a:ext cx="996495" cy="657062"/>
          </a:xfrm>
          <a:prstGeom prst="rect">
            <a:avLst/>
          </a:prstGeom>
        </xdr:spPr>
      </xdr:pic>
      <xdr:pic>
        <xdr:nvPicPr>
          <xdr:cNvPr id="214" name="Рисунок 213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992002" y="907678"/>
            <a:ext cx="996495" cy="657062"/>
          </a:xfrm>
          <a:prstGeom prst="rect">
            <a:avLst/>
          </a:prstGeom>
        </xdr:spPr>
      </xdr:pic>
      <xdr:pic>
        <xdr:nvPicPr>
          <xdr:cNvPr id="215" name="Рисунок 214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4985323" y="907678"/>
            <a:ext cx="996495" cy="657062"/>
          </a:xfrm>
          <a:prstGeom prst="rect">
            <a:avLst/>
          </a:prstGeom>
        </xdr:spPr>
      </xdr:pic>
      <xdr:pic>
        <xdr:nvPicPr>
          <xdr:cNvPr id="216" name="Рисунок 215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5983180" y="909946"/>
            <a:ext cx="996495" cy="657062"/>
          </a:xfrm>
          <a:prstGeom prst="rect">
            <a:avLst/>
          </a:prstGeom>
        </xdr:spPr>
      </xdr:pic>
      <xdr:pic>
        <xdr:nvPicPr>
          <xdr:cNvPr id="217" name="Рисунок 216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981037" y="909946"/>
            <a:ext cx="996495" cy="657062"/>
          </a:xfrm>
          <a:prstGeom prst="rect">
            <a:avLst/>
          </a:prstGeom>
        </xdr:spPr>
      </xdr:pic>
      <xdr:pic>
        <xdr:nvPicPr>
          <xdr:cNvPr id="218" name="Рисунок 217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7978894" y="907678"/>
            <a:ext cx="996495" cy="657062"/>
          </a:xfrm>
          <a:prstGeom prst="rect">
            <a:avLst/>
          </a:prstGeom>
        </xdr:spPr>
      </xdr:pic>
      <xdr:pic>
        <xdr:nvPicPr>
          <xdr:cNvPr id="219" name="Рисунок 218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8976751" y="905410"/>
            <a:ext cx="996495" cy="657062"/>
          </a:xfrm>
          <a:prstGeom prst="rect">
            <a:avLst/>
          </a:prstGeom>
        </xdr:spPr>
      </xdr:pic>
      <xdr:pic>
        <xdr:nvPicPr>
          <xdr:cNvPr id="220" name="Рисунок 219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9974607" y="905410"/>
            <a:ext cx="996495" cy="657062"/>
          </a:xfrm>
          <a:prstGeom prst="rect">
            <a:avLst/>
          </a:prstGeom>
        </xdr:spPr>
      </xdr:pic>
      <xdr:pic>
        <xdr:nvPicPr>
          <xdr:cNvPr id="221" name="Рисунок 220" descr="орнамент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0965861" y="909946"/>
            <a:ext cx="996495" cy="6570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19050</xdr:colOff>
      <xdr:row>2</xdr:row>
      <xdr:rowOff>93359</xdr:rowOff>
    </xdr:from>
    <xdr:to>
      <xdr:col>2</xdr:col>
      <xdr:colOff>273673</xdr:colOff>
      <xdr:row>3</xdr:row>
      <xdr:rowOff>362803</xdr:rowOff>
    </xdr:to>
    <xdr:pic>
      <xdr:nvPicPr>
        <xdr:cNvPr id="278" name="Рисунок 277" descr="IMG_20130723_163339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81050" y="696609"/>
          <a:ext cx="546723" cy="6758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185538</xdr:colOff>
      <xdr:row>2</xdr:row>
      <xdr:rowOff>97791</xdr:rowOff>
    </xdr:from>
    <xdr:to>
      <xdr:col>3</xdr:col>
      <xdr:colOff>721987</xdr:colOff>
      <xdr:row>3</xdr:row>
      <xdr:rowOff>222251</xdr:rowOff>
    </xdr:to>
    <xdr:pic>
      <xdr:nvPicPr>
        <xdr:cNvPr id="279" name="Рисунок 278" descr="IMG_20130723_163339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147688" y="701041"/>
          <a:ext cx="536449" cy="5308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6350</xdr:colOff>
      <xdr:row>2</xdr:row>
      <xdr:rowOff>76658</xdr:rowOff>
    </xdr:from>
    <xdr:to>
      <xdr:col>14</xdr:col>
      <xdr:colOff>12700</xdr:colOff>
      <xdr:row>3</xdr:row>
      <xdr:rowOff>370023</xdr:rowOff>
    </xdr:to>
    <xdr:pic>
      <xdr:nvPicPr>
        <xdr:cNvPr id="281" name="Рисунок 280" descr="IMG_20130723_163339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121900" y="679908"/>
          <a:ext cx="628650" cy="69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101600</xdr:colOff>
      <xdr:row>17</xdr:row>
      <xdr:rowOff>266700</xdr:rowOff>
    </xdr:from>
    <xdr:to>
      <xdr:col>17</xdr:col>
      <xdr:colOff>1574800</xdr:colOff>
      <xdr:row>26</xdr:row>
      <xdr:rowOff>304799</xdr:rowOff>
    </xdr:to>
    <xdr:pic>
      <xdr:nvPicPr>
        <xdr:cNvPr id="6169" name="Рисунок 1" descr="ящики   380_260_200___96 скоб 23кг___ и 18труб+10скоб 24кг с размерами_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5750" y="2749550"/>
          <a:ext cx="460375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0</xdr:rowOff>
    </xdr:from>
    <xdr:to>
      <xdr:col>5</xdr:col>
      <xdr:colOff>152400</xdr:colOff>
      <xdr:row>4</xdr:row>
      <xdr:rowOff>215900</xdr:rowOff>
    </xdr:to>
    <xdr:pic>
      <xdr:nvPicPr>
        <xdr:cNvPr id="71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0650" y="0"/>
          <a:ext cx="305435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3005.html?lang=ru" backgroundRefresh="0" refreshOnLoad="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www.cbr.ru" backgroundRefresh="0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rateksib.ru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AC1629"/>
  <sheetViews>
    <sheetView showGridLines="0" showRowColHeaders="0" tabSelected="1" topLeftCell="A10" zoomScalePageLayoutView="90" workbookViewId="0">
      <selection activeCell="I10" sqref="I10:I11"/>
    </sheetView>
  </sheetViews>
  <sheetFormatPr defaultRowHeight="14.5"/>
  <cols>
    <col min="1" max="1" width="10.90625" customWidth="1"/>
    <col min="2" max="2" width="4.1796875" customWidth="1"/>
    <col min="3" max="3" width="13" customWidth="1"/>
    <col min="4" max="4" width="19.1796875" customWidth="1"/>
    <col min="5" max="5" width="8.453125" customWidth="1"/>
    <col min="6" max="6" width="7.54296875" customWidth="1"/>
    <col min="7" max="8" width="9.54296875" customWidth="1"/>
    <col min="9" max="9" width="15.90625" customWidth="1"/>
    <col min="10" max="10" width="11.26953125" customWidth="1"/>
    <col min="11" max="11" width="7.26953125" customWidth="1"/>
    <col min="12" max="12" width="17.26953125" customWidth="1"/>
    <col min="13" max="13" width="10.7265625" customWidth="1"/>
    <col min="14" max="14" width="8.90625" bestFit="1" customWidth="1"/>
    <col min="15" max="15" width="11.1796875" customWidth="1"/>
    <col min="16" max="16" width="9.90625" hidden="1" customWidth="1"/>
    <col min="17" max="17" width="0" hidden="1" customWidth="1"/>
    <col min="18" max="18" width="16.1796875" hidden="1" customWidth="1"/>
    <col min="19" max="19" width="0" hidden="1" customWidth="1"/>
    <col min="20" max="20" width="8.7265625" hidden="1" customWidth="1"/>
    <col min="21" max="28" width="0" hidden="1" customWidth="1"/>
    <col min="29" max="29" width="8.7265625" hidden="1" customWidth="1"/>
  </cols>
  <sheetData>
    <row r="1" spans="1:19" ht="17.5" customHeight="1">
      <c r="A1" s="1"/>
      <c r="B1" s="1038" t="s">
        <v>2974</v>
      </c>
      <c r="C1" s="1038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</row>
    <row r="2" spans="1:19" ht="30" customHeight="1" thickBot="1">
      <c r="A2" s="1"/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7"/>
      <c r="P2" s="91"/>
      <c r="Q2" s="91"/>
      <c r="S2" s="3"/>
    </row>
    <row r="3" spans="1:19" ht="32" customHeight="1">
      <c r="A3" s="1023"/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1012"/>
    </row>
    <row r="4" spans="1:19" s="107" customFormat="1" ht="32" customHeight="1">
      <c r="A4" s="1024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02"/>
      <c r="N4" s="1003">
        <f>O104</f>
        <v>1191.4733908327371</v>
      </c>
      <c r="O4" s="1013"/>
    </row>
    <row r="5" spans="1:19" s="107" customFormat="1" ht="32" customHeight="1">
      <c r="A5" s="1024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14"/>
    </row>
    <row r="6" spans="1:19" ht="17" customHeight="1">
      <c r="A6" s="1025"/>
      <c r="B6" s="89"/>
      <c r="C6" s="92"/>
      <c r="D6" s="92"/>
      <c r="E6" s="89"/>
      <c r="F6" s="89"/>
      <c r="G6" s="89"/>
      <c r="H6" s="89"/>
      <c r="I6" s="89"/>
      <c r="J6" s="89"/>
      <c r="K6" s="89"/>
      <c r="L6" s="89"/>
      <c r="M6" s="89"/>
      <c r="N6" s="89"/>
      <c r="O6" s="1013"/>
    </row>
    <row r="7" spans="1:19" ht="17" customHeight="1" thickBot="1">
      <c r="A7" s="1026"/>
      <c r="B7" s="752" t="s">
        <v>793</v>
      </c>
      <c r="C7" s="752"/>
      <c r="D7" s="752"/>
      <c r="E7" s="752"/>
      <c r="F7" s="752"/>
      <c r="G7" s="752"/>
      <c r="H7" s="752"/>
      <c r="I7" s="752" t="s">
        <v>792</v>
      </c>
      <c r="J7" s="753"/>
      <c r="K7" s="753"/>
      <c r="L7" s="753"/>
      <c r="M7" s="753"/>
      <c r="N7" s="753"/>
      <c r="O7" s="1013"/>
    </row>
    <row r="8" spans="1:19" ht="18.5" thickBot="1">
      <c r="A8" s="1026"/>
      <c r="B8" s="755"/>
      <c r="C8" s="755"/>
      <c r="D8" s="755"/>
      <c r="E8" s="755"/>
      <c r="F8" s="755"/>
      <c r="G8" s="755"/>
      <c r="H8" s="755"/>
      <c r="I8" s="754" t="str">
        <f>HYPERLINK(закулисье!AA16)</f>
        <v>http://acidome.ru/lab/calc/#7/12_Piped_D108_3V_R5_beams_200x50</v>
      </c>
      <c r="J8" s="754"/>
      <c r="K8" s="754"/>
      <c r="L8" s="754"/>
      <c r="M8" s="754"/>
      <c r="N8" s="754"/>
      <c r="O8" s="1013"/>
    </row>
    <row r="9" spans="1:19" ht="16">
      <c r="A9" s="1026"/>
      <c r="B9" s="99"/>
      <c r="C9" s="93"/>
      <c r="D9" s="93"/>
      <c r="E9" s="90"/>
      <c r="F9" s="90"/>
      <c r="G9" s="90"/>
      <c r="H9" s="90"/>
      <c r="I9" s="89"/>
      <c r="J9" s="89"/>
      <c r="K9" s="89"/>
      <c r="L9" s="89"/>
      <c r="M9" s="89"/>
      <c r="N9" s="89"/>
      <c r="O9" s="1013"/>
    </row>
    <row r="10" spans="1:19" s="6" customFormat="1" ht="19" customHeight="1">
      <c r="A10" s="1026"/>
      <c r="B10" s="99"/>
      <c r="C10" s="762" t="s">
        <v>6</v>
      </c>
      <c r="D10" s="762"/>
      <c r="E10" s="94"/>
      <c r="F10" s="763" t="s">
        <v>14</v>
      </c>
      <c r="G10" s="763"/>
      <c r="H10" s="763"/>
      <c r="I10" s="760">
        <v>1</v>
      </c>
      <c r="J10" s="759" t="s">
        <v>808</v>
      </c>
      <c r="K10" s="763" t="s">
        <v>809</v>
      </c>
      <c r="L10" s="764"/>
      <c r="M10" s="756">
        <v>5</v>
      </c>
      <c r="N10" s="759" t="s">
        <v>13</v>
      </c>
      <c r="O10" s="1015"/>
    </row>
    <row r="11" spans="1:19" s="6" customFormat="1" ht="19" customHeight="1">
      <c r="A11" s="1026"/>
      <c r="B11" s="99"/>
      <c r="C11" s="762"/>
      <c r="D11" s="762"/>
      <c r="E11" s="94"/>
      <c r="F11" s="763"/>
      <c r="G11" s="763"/>
      <c r="H11" s="763"/>
      <c r="I11" s="761"/>
      <c r="J11" s="759"/>
      <c r="K11" s="763"/>
      <c r="L11" s="764"/>
      <c r="M11" s="757"/>
      <c r="N11" s="759"/>
      <c r="O11" s="1015"/>
    </row>
    <row r="12" spans="1:19" ht="19.5" customHeight="1">
      <c r="A12" s="1026"/>
      <c r="B12" s="95"/>
      <c r="C12" s="95"/>
      <c r="D12" s="95"/>
      <c r="E12" s="95"/>
      <c r="F12" s="95"/>
      <c r="G12" s="95"/>
      <c r="H12" s="95"/>
      <c r="I12" s="95"/>
      <c r="J12" s="1004"/>
      <c r="K12" s="1004"/>
      <c r="L12" s="1004"/>
      <c r="M12" s="1004"/>
      <c r="N12" s="1009"/>
      <c r="O12" s="1016"/>
    </row>
    <row r="13" spans="1:19" s="449" customFormat="1" ht="19.5" customHeight="1">
      <c r="A13" s="1022"/>
      <c r="B13" s="1005"/>
      <c r="C13" s="1005"/>
      <c r="D13" s="1005"/>
      <c r="E13" s="1005"/>
      <c r="F13" s="1005"/>
      <c r="G13" s="1005"/>
      <c r="H13" s="993" t="s">
        <v>807</v>
      </c>
      <c r="I13" s="993"/>
      <c r="J13" s="114"/>
      <c r="K13" s="114"/>
      <c r="L13" s="114"/>
      <c r="M13" s="114"/>
      <c r="N13" s="1010"/>
      <c r="O13" s="1016"/>
    </row>
    <row r="14" spans="1:19" ht="19.5" customHeight="1">
      <c r="A14" s="1022"/>
      <c r="B14" s="108"/>
      <c r="C14" s="108"/>
      <c r="D14" s="108"/>
      <c r="E14" s="108"/>
      <c r="F14" s="108"/>
      <c r="J14" s="1006" t="s">
        <v>2953</v>
      </c>
      <c r="K14" s="1006"/>
      <c r="L14" s="1006"/>
      <c r="M14" s="1007">
        <f>L1122</f>
        <v>697861.18599482195</v>
      </c>
      <c r="N14" s="548" t="str">
        <f>B103</f>
        <v>руб</v>
      </c>
      <c r="O14" s="1016"/>
    </row>
    <row r="15" spans="1:19" ht="7.5" customHeight="1">
      <c r="A15" s="1027" t="str">
        <f>HYPERLINK("[Proekt-kalkulyator dlya 3 chastotyi kristallicheskogo kupola.xlsx]F1133","В КОНЕЦ")</f>
        <v>В КОНЕЦ</v>
      </c>
      <c r="B15" s="108"/>
      <c r="C15" s="108"/>
      <c r="D15" s="108"/>
      <c r="E15" s="108"/>
      <c r="F15" s="108"/>
      <c r="G15" s="108"/>
      <c r="H15" s="108"/>
      <c r="I15" s="108"/>
      <c r="J15" s="624"/>
      <c r="K15" s="624"/>
      <c r="L15" s="624"/>
      <c r="M15" s="1008">
        <f>M14/J103</f>
        <v>10513.520183719213</v>
      </c>
      <c r="N15" s="1011" t="s">
        <v>2929</v>
      </c>
      <c r="O15" s="1015"/>
    </row>
    <row r="16" spans="1:19" ht="7.5" customHeight="1">
      <c r="A16" s="1028"/>
      <c r="B16" s="767" t="str">
        <f>HYPERLINK("https://vk.com/market-50380859?section=album_1","Узловое соединение")</f>
        <v>Узловое соединение</v>
      </c>
      <c r="C16" s="766"/>
      <c r="D16" s="766"/>
      <c r="E16" s="108"/>
      <c r="F16" s="765" t="s">
        <v>796</v>
      </c>
      <c r="G16" s="808">
        <v>108</v>
      </c>
      <c r="H16" s="766" t="str">
        <f>"х"&amp;закулисье!R7&amp;"мм"</f>
        <v>х6мм</v>
      </c>
      <c r="I16" s="108"/>
      <c r="J16" s="108"/>
      <c r="K16" s="108"/>
      <c r="L16" s="108"/>
      <c r="M16" s="1008"/>
      <c r="N16" s="1011"/>
      <c r="O16" s="1015"/>
    </row>
    <row r="17" spans="1:15" ht="7.5" customHeight="1">
      <c r="A17" s="1026"/>
      <c r="B17" s="766"/>
      <c r="C17" s="766"/>
      <c r="D17" s="766"/>
      <c r="E17" s="108"/>
      <c r="F17" s="765"/>
      <c r="G17" s="809"/>
      <c r="H17" s="766"/>
      <c r="I17" s="108"/>
      <c r="J17" s="108"/>
      <c r="K17" s="108"/>
      <c r="L17" s="108"/>
      <c r="M17" s="108"/>
      <c r="N17" s="108"/>
      <c r="O17" s="1015"/>
    </row>
    <row r="18" spans="1:15" ht="7.5" customHeight="1">
      <c r="A18" s="1029" t="str">
        <f>HYPERLINK("[Proekt-kalkulyator dlya 3 chastotyi kristallicheskogo kupola.xlsx]G475","КАРКАСЫ")</f>
        <v>КАРКАСЫ</v>
      </c>
      <c r="B18" s="766"/>
      <c r="C18" s="766"/>
      <c r="D18" s="766"/>
      <c r="E18" s="108"/>
      <c r="F18" s="765"/>
      <c r="G18" s="809"/>
      <c r="H18" s="766"/>
      <c r="I18" s="108"/>
      <c r="J18" s="108"/>
      <c r="K18" s="108"/>
      <c r="L18" s="108"/>
      <c r="M18" s="108"/>
      <c r="N18" s="108"/>
      <c r="O18" s="1015"/>
    </row>
    <row r="19" spans="1:15" ht="7.5" customHeight="1">
      <c r="A19" s="1030"/>
      <c r="B19" s="108"/>
      <c r="C19" s="108"/>
      <c r="D19" s="108"/>
      <c r="E19" s="758"/>
      <c r="F19" s="758"/>
      <c r="G19" s="108"/>
      <c r="H19" s="108"/>
      <c r="I19" s="108"/>
      <c r="J19" s="108"/>
      <c r="K19" s="108"/>
      <c r="L19" s="108"/>
      <c r="M19" s="108"/>
      <c r="N19" s="108"/>
      <c r="O19" s="1015"/>
    </row>
    <row r="20" spans="1:15" ht="7.5" customHeight="1">
      <c r="A20" s="1026"/>
      <c r="B20" s="108"/>
      <c r="C20" s="108"/>
      <c r="D20" s="108"/>
      <c r="E20" s="758"/>
      <c r="F20" s="758"/>
      <c r="G20" s="108"/>
      <c r="H20" s="108"/>
      <c r="I20" s="108"/>
      <c r="J20" s="108"/>
      <c r="K20" s="108"/>
      <c r="L20" s="108"/>
      <c r="M20" s="108"/>
      <c r="N20" s="108"/>
      <c r="O20" s="1015"/>
    </row>
    <row r="21" spans="1:15" ht="7.5" customHeight="1">
      <c r="A21" s="1027" t="str">
        <f>HYPERLINK("[Proekt-kalkulyator dlya 3 chastotyi kristallicheskogo kupola.xlsx]K505","наполнение")</f>
        <v>наполнение</v>
      </c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15"/>
    </row>
    <row r="22" spans="1:15" ht="7.5" customHeight="1">
      <c r="A22" s="1028"/>
      <c r="B22" s="770" t="s">
        <v>801</v>
      </c>
      <c r="C22" s="770"/>
      <c r="D22" s="770"/>
      <c r="E22" s="784">
        <v>200</v>
      </c>
      <c r="F22" s="758" t="s">
        <v>795</v>
      </c>
      <c r="G22" s="784">
        <v>50</v>
      </c>
      <c r="H22" s="770" t="s">
        <v>18</v>
      </c>
      <c r="I22" s="108"/>
      <c r="J22" s="108"/>
      <c r="K22" s="108"/>
      <c r="L22" s="108"/>
      <c r="M22" s="108"/>
      <c r="N22" s="108"/>
      <c r="O22" s="1015"/>
    </row>
    <row r="23" spans="1:15" ht="7.5" customHeight="1">
      <c r="B23" s="770"/>
      <c r="C23" s="770"/>
      <c r="D23" s="770"/>
      <c r="E23" s="785"/>
      <c r="F23" s="758"/>
      <c r="G23" s="785"/>
      <c r="H23" s="770"/>
      <c r="I23" s="108"/>
      <c r="J23" s="108"/>
      <c r="K23" s="108"/>
      <c r="L23" s="108"/>
      <c r="M23" s="108"/>
      <c r="N23" s="108"/>
      <c r="O23" s="1015"/>
    </row>
    <row r="24" spans="1:15" ht="7.5" customHeight="1">
      <c r="A24" s="1029" t="str">
        <f>HYPERLINK("[Proekt-kalkulyator dlya 3 chastotyi kristallicheskogo kupola.xlsx]K745","ОБОЛОЧКА")</f>
        <v>ОБОЛОЧКА</v>
      </c>
      <c r="B24" s="770"/>
      <c r="C24" s="770"/>
      <c r="D24" s="770"/>
      <c r="E24" s="785"/>
      <c r="F24" s="758"/>
      <c r="G24" s="785"/>
      <c r="H24" s="770"/>
      <c r="I24" s="108"/>
      <c r="J24" s="108"/>
      <c r="K24" s="108"/>
      <c r="L24" s="108"/>
      <c r="M24" s="108"/>
      <c r="N24" s="108"/>
      <c r="O24" s="1015"/>
    </row>
    <row r="25" spans="1:15" ht="7.5" customHeight="1">
      <c r="A25" s="1030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15"/>
    </row>
    <row r="26" spans="1:15" ht="6.5" customHeight="1">
      <c r="A26" s="1026"/>
      <c r="B26" s="770" t="s">
        <v>797</v>
      </c>
      <c r="C26" s="770"/>
      <c r="D26" s="770"/>
      <c r="E26" s="784">
        <v>50</v>
      </c>
      <c r="F26" s="758" t="s">
        <v>795</v>
      </c>
      <c r="G26" s="675">
        <f>G22</f>
        <v>50</v>
      </c>
      <c r="H26" s="770" t="s">
        <v>18</v>
      </c>
      <c r="I26" s="108"/>
      <c r="J26" s="108"/>
      <c r="K26" s="108"/>
      <c r="L26" s="108"/>
      <c r="M26" s="108"/>
      <c r="N26" s="108"/>
      <c r="O26" s="1015"/>
    </row>
    <row r="27" spans="1:15" ht="7.5" customHeight="1">
      <c r="A27" s="1031" t="str">
        <f>HYPERLINK("[Proekt-kalkulyator dlya 3 chastotyi kristallicheskogo kupola.xlsx]J942","ФуНДАМЕНТ")</f>
        <v>ФуНДАМЕНТ</v>
      </c>
      <c r="B27" s="770"/>
      <c r="C27" s="770"/>
      <c r="D27" s="770"/>
      <c r="E27" s="785"/>
      <c r="F27" s="758"/>
      <c r="G27" s="758"/>
      <c r="H27" s="770"/>
      <c r="I27" s="108"/>
      <c r="J27" s="108"/>
      <c r="K27" s="108"/>
      <c r="L27" s="108"/>
      <c r="M27" s="108"/>
      <c r="N27" s="108"/>
      <c r="O27" s="1015"/>
    </row>
    <row r="28" spans="1:15" ht="7.5" customHeight="1">
      <c r="A28" s="1032"/>
      <c r="B28" s="770"/>
      <c r="C28" s="770"/>
      <c r="D28" s="770"/>
      <c r="E28" s="785"/>
      <c r="F28" s="758"/>
      <c r="G28" s="758"/>
      <c r="H28" s="770"/>
      <c r="I28" s="108"/>
      <c r="J28" s="108"/>
      <c r="K28" s="108"/>
      <c r="L28" s="108"/>
      <c r="M28" s="108"/>
      <c r="N28" s="108"/>
      <c r="O28" s="1015"/>
    </row>
    <row r="29" spans="1:15" ht="7.5" customHeight="1">
      <c r="A29" s="1026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15"/>
    </row>
    <row r="30" spans="1:15" ht="7.5" customHeight="1">
      <c r="A30" s="1029" t="str">
        <f>HYPERLINK("[Proekt-kalkulyator dlya 3 chastotyi kristallicheskogo kupola.xlsx]K995","перекрытие п.")</f>
        <v>перекрытие п.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15"/>
    </row>
    <row r="31" spans="1:15" ht="7.5" customHeight="1">
      <c r="A31" s="1030"/>
      <c r="B31" s="771" t="s">
        <v>798</v>
      </c>
      <c r="C31" s="771"/>
      <c r="D31" s="771"/>
      <c r="E31" s="771"/>
      <c r="F31" s="771"/>
      <c r="G31" s="784">
        <v>20</v>
      </c>
      <c r="H31" s="766" t="s">
        <v>18</v>
      </c>
      <c r="J31" s="108"/>
      <c r="K31" s="108"/>
      <c r="L31" s="108"/>
      <c r="M31" s="108"/>
      <c r="N31" s="108"/>
      <c r="O31" s="1015"/>
    </row>
    <row r="32" spans="1:15" ht="7.5" customHeight="1">
      <c r="A32" s="1026"/>
      <c r="B32" s="771"/>
      <c r="C32" s="771"/>
      <c r="D32" s="771"/>
      <c r="E32" s="771"/>
      <c r="F32" s="771"/>
      <c r="G32" s="785"/>
      <c r="H32" s="766"/>
      <c r="J32" s="108"/>
      <c r="K32" s="108"/>
      <c r="L32" s="108"/>
      <c r="M32" s="108"/>
      <c r="N32" s="108"/>
      <c r="O32" s="1015"/>
    </row>
    <row r="33" spans="1:15" ht="7.5" customHeight="1">
      <c r="A33" s="1026"/>
      <c r="B33" s="771"/>
      <c r="C33" s="771"/>
      <c r="D33" s="771"/>
      <c r="E33" s="771"/>
      <c r="F33" s="771"/>
      <c r="G33" s="785"/>
      <c r="H33" s="766"/>
      <c r="J33" s="108"/>
      <c r="K33" s="108"/>
      <c r="L33" s="108"/>
      <c r="M33" s="108"/>
      <c r="N33" s="108"/>
      <c r="O33" s="1015"/>
    </row>
    <row r="34" spans="1:15" ht="7.5" customHeight="1">
      <c r="A34" s="1029" t="str">
        <f>HYPERLINK("[Proekt-kalkulyator dlya 3 chastotyi kristallicheskogo kupola.xlsx]K1114","перекрытие в.")</f>
        <v>перекрытие в.</v>
      </c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15"/>
    </row>
    <row r="35" spans="1:15" ht="7.5" customHeight="1">
      <c r="A35" s="1030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15"/>
    </row>
    <row r="36" spans="1:15" ht="7.5" customHeight="1">
      <c r="A36" s="1026"/>
      <c r="B36" s="766" t="s">
        <v>800</v>
      </c>
      <c r="C36" s="766"/>
      <c r="D36" s="766"/>
      <c r="E36" s="766"/>
      <c r="F36" s="766"/>
      <c r="G36" s="108"/>
      <c r="H36" s="108"/>
      <c r="I36" s="108"/>
      <c r="J36" s="108"/>
      <c r="K36" s="108"/>
      <c r="L36" s="108"/>
      <c r="M36" s="108"/>
      <c r="N36" s="108"/>
      <c r="O36" s="1015"/>
    </row>
    <row r="37" spans="1:15" ht="7.5" customHeight="1">
      <c r="A37" s="1026"/>
      <c r="B37" s="766"/>
      <c r="C37" s="766"/>
      <c r="D37" s="766"/>
      <c r="E37" s="766"/>
      <c r="F37" s="766"/>
      <c r="G37" s="108"/>
      <c r="H37" s="108"/>
      <c r="I37" s="108"/>
      <c r="J37" s="108"/>
      <c r="K37" s="108"/>
      <c r="L37" s="108"/>
      <c r="M37" s="108"/>
      <c r="N37" s="108"/>
      <c r="O37" s="1015"/>
    </row>
    <row r="38" spans="1:15" ht="7.5" customHeight="1">
      <c r="A38" s="1026"/>
      <c r="B38" s="766"/>
      <c r="C38" s="766"/>
      <c r="D38" s="766"/>
      <c r="E38" s="766"/>
      <c r="F38" s="766"/>
      <c r="G38" s="108"/>
      <c r="H38" s="108"/>
      <c r="I38" s="108"/>
      <c r="J38" s="108"/>
      <c r="K38" s="108"/>
      <c r="L38" s="108"/>
      <c r="M38" s="108"/>
      <c r="N38" s="108"/>
      <c r="O38" s="1015"/>
    </row>
    <row r="39" spans="1:15" ht="7.5" customHeight="1">
      <c r="A39" s="1026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15"/>
    </row>
    <row r="40" spans="1:15" ht="7.5" customHeight="1">
      <c r="A40" s="1026"/>
      <c r="B40" s="770" t="s">
        <v>799</v>
      </c>
      <c r="C40" s="770"/>
      <c r="D40" s="770"/>
      <c r="E40" s="788">
        <v>50</v>
      </c>
      <c r="F40" s="786" t="s">
        <v>795</v>
      </c>
      <c r="G40" s="675">
        <f>G26</f>
        <v>50</v>
      </c>
      <c r="H40" s="770" t="s">
        <v>18</v>
      </c>
      <c r="I40" s="108"/>
      <c r="J40" s="108"/>
      <c r="K40" s="108"/>
      <c r="L40" s="108"/>
      <c r="M40" s="108"/>
      <c r="N40" s="108"/>
      <c r="O40" s="1015"/>
    </row>
    <row r="41" spans="1:15" ht="7.5" customHeight="1">
      <c r="A41" s="1026"/>
      <c r="B41" s="770"/>
      <c r="C41" s="770"/>
      <c r="D41" s="770"/>
      <c r="E41" s="789"/>
      <c r="F41" s="786"/>
      <c r="G41" s="758"/>
      <c r="H41" s="770"/>
      <c r="I41" s="108"/>
      <c r="J41" s="108"/>
      <c r="K41" s="108"/>
      <c r="L41" s="108"/>
      <c r="M41" s="108"/>
      <c r="N41" s="108"/>
      <c r="O41" s="1015"/>
    </row>
    <row r="42" spans="1:15" ht="7.5" customHeight="1">
      <c r="A42" s="1026"/>
      <c r="B42" s="770"/>
      <c r="C42" s="770"/>
      <c r="D42" s="770"/>
      <c r="E42" s="789"/>
      <c r="F42" s="786"/>
      <c r="G42" s="758"/>
      <c r="H42" s="770"/>
      <c r="I42" s="108"/>
      <c r="J42" s="108"/>
      <c r="K42" s="108"/>
      <c r="L42" s="108"/>
      <c r="M42" s="108"/>
      <c r="N42" s="108"/>
      <c r="O42" s="1015"/>
    </row>
    <row r="43" spans="1:15" ht="7.5" customHeight="1">
      <c r="A43" s="1026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15"/>
    </row>
    <row r="44" spans="1:15" ht="7.5" customHeight="1">
      <c r="A44" s="1026"/>
      <c r="B44" s="770" t="s">
        <v>802</v>
      </c>
      <c r="C44" s="770"/>
      <c r="D44" s="770"/>
      <c r="E44" s="790">
        <v>200</v>
      </c>
      <c r="F44" s="766" t="s">
        <v>18</v>
      </c>
      <c r="G44" s="108"/>
      <c r="H44" s="108"/>
      <c r="I44" s="108"/>
      <c r="J44" s="108"/>
      <c r="K44" s="108"/>
      <c r="L44" s="108"/>
      <c r="M44" s="108"/>
      <c r="N44" s="108"/>
      <c r="O44" s="1015"/>
    </row>
    <row r="45" spans="1:15" ht="7.5" customHeight="1">
      <c r="A45" s="1026"/>
      <c r="B45" s="770"/>
      <c r="C45" s="770"/>
      <c r="D45" s="770"/>
      <c r="E45" s="790"/>
      <c r="F45" s="766"/>
      <c r="G45" s="108"/>
      <c r="H45" s="108"/>
      <c r="I45" s="108"/>
      <c r="J45" s="108"/>
      <c r="K45" s="108"/>
      <c r="L45" s="108"/>
      <c r="M45" s="108"/>
      <c r="N45" s="108"/>
      <c r="O45" s="1015"/>
    </row>
    <row r="46" spans="1:15" ht="7.5" customHeight="1">
      <c r="A46" s="1026"/>
      <c r="B46" s="770"/>
      <c r="C46" s="770"/>
      <c r="D46" s="770"/>
      <c r="E46" s="790"/>
      <c r="F46" s="766"/>
      <c r="G46" s="108"/>
      <c r="H46" s="108"/>
      <c r="I46" s="108"/>
      <c r="J46" s="108"/>
      <c r="K46" s="108"/>
      <c r="L46" s="108"/>
      <c r="M46" s="108"/>
      <c r="N46" s="108"/>
      <c r="O46" s="1015"/>
    </row>
    <row r="47" spans="1:15" ht="7.5" customHeight="1">
      <c r="A47" s="1022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15"/>
    </row>
    <row r="48" spans="1:15" ht="7.5" customHeight="1">
      <c r="A48" s="1022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15"/>
    </row>
    <row r="49" spans="1:15" ht="7" customHeight="1">
      <c r="A49" s="1022"/>
      <c r="B49" s="766" t="s">
        <v>803</v>
      </c>
      <c r="C49" s="766"/>
      <c r="D49" s="766"/>
      <c r="E49" s="766"/>
      <c r="F49" s="766"/>
      <c r="G49" s="766"/>
      <c r="J49" s="108"/>
      <c r="K49" s="108"/>
      <c r="L49" s="108"/>
      <c r="M49" s="108"/>
      <c r="N49" s="108"/>
      <c r="O49" s="1015"/>
    </row>
    <row r="50" spans="1:15" ht="7" customHeight="1">
      <c r="A50" s="1022"/>
      <c r="B50" s="766"/>
      <c r="C50" s="766"/>
      <c r="D50" s="766"/>
      <c r="E50" s="766"/>
      <c r="F50" s="766"/>
      <c r="G50" s="766"/>
      <c r="J50" s="108"/>
      <c r="K50" s="108"/>
      <c r="L50" s="108"/>
      <c r="M50" s="108"/>
      <c r="N50" s="108"/>
      <c r="O50" s="1015"/>
    </row>
    <row r="51" spans="1:15" ht="7" customHeight="1">
      <c r="A51" s="1022"/>
      <c r="B51" s="766"/>
      <c r="C51" s="766"/>
      <c r="D51" s="766"/>
      <c r="E51" s="766"/>
      <c r="F51" s="766"/>
      <c r="G51" s="766"/>
      <c r="J51" s="108"/>
      <c r="K51" s="108"/>
      <c r="L51" s="108"/>
      <c r="M51" s="108"/>
      <c r="N51" s="108"/>
      <c r="O51" s="1015"/>
    </row>
    <row r="52" spans="1:15" ht="7" customHeight="1">
      <c r="A52" s="1022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15"/>
    </row>
    <row r="53" spans="1:15" ht="7" customHeight="1">
      <c r="A53" s="1022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15"/>
    </row>
    <row r="54" spans="1:15" ht="7" customHeight="1">
      <c r="A54" s="1022"/>
      <c r="B54" s="766" t="s">
        <v>810</v>
      </c>
      <c r="C54" s="766"/>
      <c r="D54" s="766"/>
      <c r="E54" s="787">
        <f>E40</f>
        <v>50</v>
      </c>
      <c r="F54" s="766" t="s">
        <v>18</v>
      </c>
      <c r="G54" s="110"/>
      <c r="H54" s="108"/>
      <c r="I54" s="108"/>
      <c r="J54" s="108"/>
      <c r="K54" s="108"/>
      <c r="L54" s="108"/>
      <c r="M54" s="108"/>
      <c r="N54" s="108"/>
      <c r="O54" s="1015"/>
    </row>
    <row r="55" spans="1:15" s="100" customFormat="1" ht="7" customHeight="1">
      <c r="A55" s="1022"/>
      <c r="B55" s="766"/>
      <c r="C55" s="766"/>
      <c r="D55" s="766"/>
      <c r="E55" s="787"/>
      <c r="F55" s="766"/>
      <c r="G55" s="110"/>
      <c r="H55" s="108"/>
      <c r="I55" s="108"/>
      <c r="J55" s="108"/>
      <c r="K55" s="108"/>
      <c r="L55" s="108"/>
      <c r="M55" s="108"/>
      <c r="N55" s="108"/>
      <c r="O55" s="1015"/>
    </row>
    <row r="56" spans="1:15" s="100" customFormat="1" ht="7" customHeight="1">
      <c r="A56" s="1022"/>
      <c r="B56" s="766"/>
      <c r="C56" s="766"/>
      <c r="D56" s="766"/>
      <c r="E56" s="787"/>
      <c r="F56" s="766"/>
      <c r="G56" s="110"/>
      <c r="H56" s="108"/>
      <c r="I56" s="108"/>
      <c r="J56" s="108"/>
      <c r="K56" s="108"/>
      <c r="L56" s="108"/>
      <c r="M56" s="108"/>
      <c r="N56" s="108"/>
      <c r="O56" s="1015"/>
    </row>
    <row r="57" spans="1:15" s="100" customFormat="1" ht="7" customHeight="1">
      <c r="A57" s="1022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15"/>
    </row>
    <row r="58" spans="1:15" s="100" customFormat="1" ht="7" customHeight="1">
      <c r="A58" s="1022"/>
      <c r="B58" s="108"/>
      <c r="C58" s="108"/>
      <c r="D58" s="108"/>
      <c r="E58" s="108"/>
      <c r="F58" s="108"/>
      <c r="G58" s="109"/>
      <c r="H58" s="109"/>
      <c r="I58" s="108"/>
      <c r="J58" s="108"/>
      <c r="K58" s="108"/>
      <c r="L58" s="108"/>
      <c r="M58" s="108"/>
      <c r="N58" s="108"/>
      <c r="O58" s="1015"/>
    </row>
    <row r="59" spans="1:15" s="100" customFormat="1" ht="7" customHeight="1">
      <c r="A59" s="1022"/>
      <c r="B59" s="786" t="s">
        <v>841</v>
      </c>
      <c r="C59" s="786"/>
      <c r="D59" s="786"/>
      <c r="E59" s="786"/>
      <c r="F59" s="807">
        <v>15</v>
      </c>
      <c r="G59" s="766" t="s">
        <v>18</v>
      </c>
      <c r="H59" s="110"/>
      <c r="I59" s="108"/>
      <c r="J59" s="108"/>
      <c r="K59" s="108"/>
      <c r="L59" s="108"/>
      <c r="M59" s="108"/>
      <c r="N59" s="108"/>
      <c r="O59" s="1015"/>
    </row>
    <row r="60" spans="1:15" s="100" customFormat="1" ht="7" customHeight="1">
      <c r="A60" s="1022"/>
      <c r="B60" s="786"/>
      <c r="C60" s="786"/>
      <c r="D60" s="786"/>
      <c r="E60" s="786"/>
      <c r="F60" s="807"/>
      <c r="G60" s="766"/>
      <c r="H60" s="110"/>
      <c r="I60" s="108"/>
      <c r="J60" s="108"/>
      <c r="K60" s="108"/>
      <c r="L60" s="108"/>
      <c r="M60" s="108"/>
      <c r="N60" s="108"/>
      <c r="O60" s="1015"/>
    </row>
    <row r="61" spans="1:15" s="100" customFormat="1" ht="7" customHeight="1">
      <c r="A61" s="1026"/>
      <c r="B61" s="786"/>
      <c r="C61" s="786"/>
      <c r="D61" s="786"/>
      <c r="E61" s="786"/>
      <c r="F61" s="807"/>
      <c r="G61" s="766"/>
      <c r="H61" s="110"/>
      <c r="I61" s="108"/>
      <c r="J61" s="108"/>
      <c r="K61" s="108"/>
      <c r="L61" s="108"/>
      <c r="M61" s="108"/>
      <c r="N61" s="108"/>
      <c r="O61" s="1015"/>
    </row>
    <row r="62" spans="1:15" s="100" customFormat="1" ht="7" customHeight="1">
      <c r="A62" s="1026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15"/>
    </row>
    <row r="63" spans="1:15" s="100" customFormat="1" ht="7" customHeight="1">
      <c r="A63" s="1026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15"/>
    </row>
    <row r="64" spans="1:15" s="100" customFormat="1" ht="7" customHeight="1">
      <c r="A64" s="1026"/>
      <c r="B64" s="766" t="s">
        <v>804</v>
      </c>
      <c r="C64" s="766"/>
      <c r="D64" s="766"/>
      <c r="E64" s="766"/>
      <c r="F64" s="766"/>
      <c r="G64" s="766"/>
      <c r="H64" s="766"/>
      <c r="I64" s="108"/>
      <c r="J64" s="108"/>
      <c r="K64" s="108"/>
      <c r="L64" s="108"/>
      <c r="M64" s="108"/>
      <c r="N64" s="108"/>
      <c r="O64" s="1015"/>
    </row>
    <row r="65" spans="1:15" s="100" customFormat="1" ht="7" customHeight="1">
      <c r="A65" s="1026"/>
      <c r="B65" s="766"/>
      <c r="C65" s="766"/>
      <c r="D65" s="766"/>
      <c r="E65" s="766"/>
      <c r="F65" s="766"/>
      <c r="G65" s="766"/>
      <c r="H65" s="766"/>
      <c r="I65" s="108"/>
      <c r="J65" s="108"/>
      <c r="K65" s="108"/>
      <c r="L65" s="108"/>
      <c r="M65" s="108"/>
      <c r="N65" s="108"/>
      <c r="O65" s="1015"/>
    </row>
    <row r="66" spans="1:15" s="100" customFormat="1" ht="7" customHeight="1">
      <c r="A66" s="1026"/>
      <c r="B66" s="766"/>
      <c r="C66" s="766"/>
      <c r="D66" s="766"/>
      <c r="E66" s="766"/>
      <c r="F66" s="766"/>
      <c r="G66" s="766"/>
      <c r="H66" s="766"/>
      <c r="I66" s="108"/>
      <c r="J66" s="108"/>
      <c r="K66" s="108"/>
      <c r="L66" s="108"/>
      <c r="M66" s="108"/>
      <c r="N66" s="108"/>
      <c r="O66" s="1015"/>
    </row>
    <row r="67" spans="1:15" s="100" customFormat="1" ht="7" customHeight="1">
      <c r="A67" s="1026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15"/>
    </row>
    <row r="68" spans="1:15" s="100" customFormat="1" ht="7" customHeight="1">
      <c r="A68" s="1026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15"/>
    </row>
    <row r="69" spans="1:15" s="100" customFormat="1" ht="7" customHeight="1">
      <c r="A69" s="1026"/>
      <c r="B69" s="766" t="s">
        <v>805</v>
      </c>
      <c r="C69" s="766"/>
      <c r="D69" s="766"/>
      <c r="E69" s="766"/>
      <c r="F69" s="766"/>
      <c r="G69" s="766"/>
      <c r="H69" s="766"/>
      <c r="I69" s="108"/>
      <c r="J69" s="108"/>
      <c r="K69" s="108"/>
      <c r="L69" s="108"/>
      <c r="M69" s="108"/>
      <c r="N69" s="108"/>
      <c r="O69" s="1015"/>
    </row>
    <row r="70" spans="1:15" s="100" customFormat="1" ht="7" customHeight="1">
      <c r="A70" s="1026"/>
      <c r="B70" s="766"/>
      <c r="C70" s="766"/>
      <c r="D70" s="766"/>
      <c r="E70" s="766"/>
      <c r="F70" s="766"/>
      <c r="G70" s="766"/>
      <c r="H70" s="766"/>
      <c r="I70" s="108"/>
      <c r="J70" s="108"/>
      <c r="K70" s="108"/>
      <c r="L70" s="108"/>
      <c r="M70" s="108"/>
      <c r="N70" s="108"/>
      <c r="O70" s="1015"/>
    </row>
    <row r="71" spans="1:15" s="100" customFormat="1" ht="7" customHeight="1">
      <c r="A71" s="1026"/>
      <c r="B71" s="766"/>
      <c r="C71" s="766"/>
      <c r="D71" s="766"/>
      <c r="E71" s="766"/>
      <c r="F71" s="766"/>
      <c r="G71" s="766"/>
      <c r="H71" s="766"/>
      <c r="I71" s="108"/>
      <c r="J71" s="108"/>
      <c r="K71" s="108"/>
      <c r="L71" s="108"/>
      <c r="M71" s="108"/>
      <c r="N71" s="108"/>
      <c r="O71" s="1015"/>
    </row>
    <row r="72" spans="1:15" s="100" customFormat="1" ht="7" customHeight="1">
      <c r="A72" s="1026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15"/>
    </row>
    <row r="73" spans="1:15" s="100" customFormat="1" ht="7" customHeight="1">
      <c r="A73" s="1026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15"/>
    </row>
    <row r="74" spans="1:15" s="100" customFormat="1" ht="7" customHeight="1">
      <c r="A74" s="1026"/>
      <c r="B74" s="766" t="s">
        <v>806</v>
      </c>
      <c r="C74" s="766"/>
      <c r="D74" s="766"/>
      <c r="E74" s="766"/>
      <c r="F74" s="766"/>
      <c r="G74" s="766"/>
      <c r="H74" s="766"/>
      <c r="I74" s="108"/>
      <c r="J74" s="108"/>
      <c r="K74" s="108"/>
      <c r="L74" s="108"/>
      <c r="M74" s="108"/>
      <c r="N74" s="108"/>
      <c r="O74" s="1015"/>
    </row>
    <row r="75" spans="1:15" s="100" customFormat="1" ht="7" customHeight="1">
      <c r="A75" s="1026"/>
      <c r="B75" s="766"/>
      <c r="C75" s="766"/>
      <c r="D75" s="766"/>
      <c r="E75" s="766"/>
      <c r="F75" s="766"/>
      <c r="G75" s="766"/>
      <c r="H75" s="766"/>
      <c r="I75" s="108"/>
      <c r="J75" s="108"/>
      <c r="K75" s="108"/>
      <c r="L75" s="108"/>
      <c r="M75" s="108"/>
      <c r="N75" s="108"/>
      <c r="O75" s="1015"/>
    </row>
    <row r="76" spans="1:15" s="100" customFormat="1" ht="7" customHeight="1">
      <c r="A76" s="1026"/>
      <c r="B76" s="766"/>
      <c r="C76" s="766"/>
      <c r="D76" s="766"/>
      <c r="E76" s="766"/>
      <c r="F76" s="766"/>
      <c r="G76" s="766"/>
      <c r="H76" s="766"/>
      <c r="I76" s="108"/>
      <c r="J76" s="108"/>
      <c r="K76" s="108"/>
      <c r="L76" s="108"/>
      <c r="M76" s="108"/>
      <c r="N76" s="108"/>
      <c r="O76" s="1015"/>
    </row>
    <row r="77" spans="1:15" s="100" customFormat="1" ht="7" customHeight="1">
      <c r="A77" s="1026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15"/>
    </row>
    <row r="78" spans="1:15" s="100" customFormat="1" ht="7" customHeight="1">
      <c r="A78" s="1026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15"/>
    </row>
    <row r="79" spans="1:15" s="100" customFormat="1" ht="7" customHeight="1">
      <c r="A79" s="1026"/>
      <c r="B79" s="766" t="s">
        <v>811</v>
      </c>
      <c r="C79" s="766"/>
      <c r="D79" s="766"/>
      <c r="E79" s="787">
        <f>E26</f>
        <v>50</v>
      </c>
      <c r="F79" s="766" t="s">
        <v>18</v>
      </c>
      <c r="G79" s="110"/>
      <c r="H79" s="110"/>
      <c r="I79" s="108"/>
      <c r="J79" s="108"/>
      <c r="K79" s="108"/>
      <c r="L79" s="108"/>
      <c r="M79" s="108"/>
      <c r="N79" s="108"/>
      <c r="O79" s="1015"/>
    </row>
    <row r="80" spans="1:15" s="100" customFormat="1" ht="7" customHeight="1">
      <c r="A80" s="1026"/>
      <c r="B80" s="766"/>
      <c r="C80" s="766"/>
      <c r="D80" s="766"/>
      <c r="E80" s="786"/>
      <c r="F80" s="766"/>
      <c r="G80" s="110"/>
      <c r="H80" s="110"/>
      <c r="I80" s="108"/>
      <c r="J80" s="108"/>
      <c r="K80" s="108"/>
      <c r="L80" s="108"/>
      <c r="M80" s="108"/>
      <c r="N80" s="108"/>
      <c r="O80" s="1015"/>
    </row>
    <row r="81" spans="1:15" s="100" customFormat="1" ht="7" customHeight="1">
      <c r="A81" s="1026"/>
      <c r="B81" s="766"/>
      <c r="C81" s="766"/>
      <c r="D81" s="766"/>
      <c r="E81" s="786"/>
      <c r="F81" s="766"/>
      <c r="G81" s="110"/>
      <c r="H81" s="110"/>
      <c r="I81" s="108"/>
      <c r="J81" s="108"/>
      <c r="K81" s="108"/>
      <c r="L81" s="108"/>
      <c r="M81" s="108"/>
      <c r="N81" s="108"/>
      <c r="O81" s="1015"/>
    </row>
    <row r="82" spans="1:15" s="100" customFormat="1" ht="7.5" customHeight="1">
      <c r="A82" s="1026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15"/>
    </row>
    <row r="83" spans="1:15" s="100" customFormat="1" ht="7.5" customHeight="1">
      <c r="A83" s="1026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15"/>
    </row>
    <row r="84" spans="1:15" s="100" customFormat="1" ht="7.5" customHeight="1">
      <c r="A84" s="1026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15"/>
    </row>
    <row r="85" spans="1:15" s="100" customFormat="1" ht="7.5" customHeight="1">
      <c r="A85" s="1026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15"/>
    </row>
    <row r="86" spans="1:15" s="100" customFormat="1" ht="7.5" customHeight="1">
      <c r="A86" s="1026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15"/>
    </row>
    <row r="87" spans="1:15" s="100" customFormat="1" ht="7.5" customHeight="1">
      <c r="A87" s="1026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15"/>
    </row>
    <row r="88" spans="1:15" s="100" customFormat="1" ht="7.5" customHeight="1">
      <c r="A88" s="1026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15"/>
    </row>
    <row r="89" spans="1:15" s="100" customFormat="1" ht="7.5" customHeight="1">
      <c r="A89" s="1026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15"/>
    </row>
    <row r="90" spans="1:15" s="100" customFormat="1" ht="7.5" customHeight="1">
      <c r="A90" s="1026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15"/>
    </row>
    <row r="91" spans="1:15" s="100" customFormat="1" ht="7.5" customHeight="1">
      <c r="A91" s="1026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15"/>
    </row>
    <row r="92" spans="1:15" s="100" customFormat="1" ht="7.5" customHeight="1">
      <c r="A92" s="1026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15"/>
    </row>
    <row r="93" spans="1:15" s="100" customFormat="1" ht="7.5" customHeight="1">
      <c r="A93" s="1026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15"/>
    </row>
    <row r="94" spans="1:15" s="100" customFormat="1" ht="7.5" customHeight="1">
      <c r="A94" s="1026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15"/>
    </row>
    <row r="95" spans="1:15" s="100" customFormat="1" ht="7.5" customHeight="1">
      <c r="A95" s="1026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15"/>
    </row>
    <row r="96" spans="1:15" s="100" customFormat="1" ht="7.5" customHeight="1">
      <c r="A96" s="1026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15"/>
    </row>
    <row r="97" spans="1:16" s="100" customFormat="1" ht="7.5" customHeight="1">
      <c r="A97" s="1026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15"/>
    </row>
    <row r="98" spans="1:16" s="100" customFormat="1" ht="7.5" customHeight="1">
      <c r="A98" s="1026"/>
      <c r="B98" s="116"/>
      <c r="C98" s="452">
        <v>1</v>
      </c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015"/>
    </row>
    <row r="99" spans="1:16" s="107" customFormat="1" ht="7.5" customHeight="1">
      <c r="A99" s="102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015"/>
    </row>
    <row r="100" spans="1:16" s="107" customFormat="1" ht="7.5" customHeight="1">
      <c r="A100" s="1026"/>
      <c r="B100" s="119" t="s">
        <v>823</v>
      </c>
      <c r="C100" s="719" t="s">
        <v>826</v>
      </c>
      <c r="D100" s="719"/>
      <c r="E100" s="116"/>
      <c r="F100" s="116"/>
      <c r="G100" s="117" t="s">
        <v>820</v>
      </c>
      <c r="H100" s="720" t="s">
        <v>827</v>
      </c>
      <c r="I100" s="720"/>
      <c r="J100" s="721">
        <v>0</v>
      </c>
      <c r="K100" s="713" t="str">
        <f>B103</f>
        <v>руб</v>
      </c>
      <c r="L100" s="768" t="str">
        <f>IF(C98=2,HYPERLINK("https://news.yandex.ua/quotes/3005.html?lang=ru"," Узнать курс НБУ"),IF(C98=1,HYPERLINK("http://www.cbr.ru"," Узнать курс ЦБ"),""))</f>
        <v xml:space="preserve"> Узнать курс ЦБ</v>
      </c>
      <c r="M100" s="768"/>
      <c r="N100" s="116"/>
      <c r="O100" s="1015"/>
    </row>
    <row r="101" spans="1:16" ht="7.5" customHeight="1">
      <c r="A101" s="1026"/>
      <c r="B101" s="119" t="s">
        <v>824</v>
      </c>
      <c r="C101" s="719"/>
      <c r="D101" s="719"/>
      <c r="E101" s="116"/>
      <c r="F101" s="116"/>
      <c r="G101" s="117" t="s">
        <v>821</v>
      </c>
      <c r="H101" s="720"/>
      <c r="I101" s="720"/>
      <c r="J101" s="721"/>
      <c r="K101" s="713"/>
      <c r="L101" s="768"/>
      <c r="M101" s="768"/>
      <c r="N101" s="116"/>
      <c r="O101" s="1015"/>
    </row>
    <row r="102" spans="1:16" s="107" customFormat="1" ht="7.5" customHeight="1">
      <c r="A102" s="1026"/>
      <c r="B102" s="119" t="s">
        <v>825</v>
      </c>
      <c r="C102" s="719"/>
      <c r="D102" s="719"/>
      <c r="E102" s="772" t="str">
        <f>INDEX(G100:G102,C98,1)</f>
        <v>РУБ. Великая Русь</v>
      </c>
      <c r="F102" s="772"/>
      <c r="G102" s="117" t="s">
        <v>822</v>
      </c>
      <c r="H102" s="720"/>
      <c r="I102" s="720"/>
      <c r="J102" s="721"/>
      <c r="K102" s="713"/>
      <c r="L102" s="768"/>
      <c r="M102" s="768"/>
      <c r="N102" s="116"/>
      <c r="O102" s="1015"/>
    </row>
    <row r="103" spans="1:16" ht="15.5" customHeight="1">
      <c r="A103" s="1026"/>
      <c r="B103" s="118" t="str">
        <f>INDEX(B100:B102,C98,1)</f>
        <v>руб</v>
      </c>
      <c r="C103" s="99"/>
      <c r="D103" s="99"/>
      <c r="E103" s="772"/>
      <c r="F103" s="772"/>
      <c r="G103" s="99"/>
      <c r="H103" s="99"/>
      <c r="I103" s="451" t="s">
        <v>2940</v>
      </c>
      <c r="J103" s="450">
        <f>IF(J100=0,узлы!T56,J100)</f>
        <v>66.377499999999998</v>
      </c>
      <c r="K103" s="448" t="str">
        <f>B103</f>
        <v>руб</v>
      </c>
      <c r="L103" s="99"/>
      <c r="M103" s="99"/>
      <c r="N103" s="99"/>
      <c r="O103" s="1015"/>
    </row>
    <row r="104" spans="1:16" ht="13" customHeight="1">
      <c r="A104" s="1026"/>
      <c r="B104" s="725" t="s">
        <v>780</v>
      </c>
      <c r="C104" s="725"/>
      <c r="D104" s="725"/>
      <c r="E104" s="725"/>
      <c r="F104" s="725"/>
      <c r="G104" s="725"/>
      <c r="H104" s="725"/>
      <c r="I104" s="725"/>
      <c r="J104" s="725"/>
      <c r="K104" s="725"/>
      <c r="L104" s="725"/>
      <c r="M104" s="725"/>
      <c r="N104" s="725"/>
      <c r="O104" s="1040">
        <f>закулисье!Q7</f>
        <v>1191.4733908327371</v>
      </c>
      <c r="P104" s="31"/>
    </row>
    <row r="105" spans="1:16" ht="13" customHeight="1">
      <c r="A105" s="1026"/>
      <c r="B105" s="725"/>
      <c r="C105" s="725"/>
      <c r="D105" s="725"/>
      <c r="E105" s="725"/>
      <c r="F105" s="725"/>
      <c r="G105" s="725"/>
      <c r="H105" s="725"/>
      <c r="I105" s="725"/>
      <c r="J105" s="725"/>
      <c r="K105" s="725"/>
      <c r="L105" s="725"/>
      <c r="M105" s="725"/>
      <c r="N105" s="725"/>
      <c r="O105" s="1015"/>
      <c r="P105" s="31"/>
    </row>
    <row r="106" spans="1:16" ht="13" customHeight="1">
      <c r="A106" s="1026"/>
      <c r="D106" s="86"/>
      <c r="E106" s="86"/>
      <c r="F106" s="86"/>
      <c r="G106" s="86"/>
      <c r="H106" s="86"/>
      <c r="I106" s="86"/>
      <c r="J106" s="86"/>
      <c r="K106" s="86"/>
      <c r="L106" s="86"/>
      <c r="M106" s="33"/>
      <c r="N106" s="33"/>
      <c r="O106" s="1015"/>
      <c r="P106" s="31"/>
    </row>
    <row r="107" spans="1:16" ht="13" customHeight="1">
      <c r="A107" s="1026"/>
      <c r="G107" s="33"/>
      <c r="H107" s="33"/>
      <c r="I107" s="33"/>
      <c r="J107" s="33"/>
      <c r="K107" s="33"/>
      <c r="L107" s="33"/>
      <c r="M107" s="33"/>
      <c r="N107" s="33"/>
      <c r="O107" s="1015"/>
      <c r="P107" s="31"/>
    </row>
    <row r="108" spans="1:16" ht="13" customHeight="1">
      <c r="A108" s="1026"/>
      <c r="G108" s="33"/>
      <c r="H108" s="33"/>
      <c r="I108" s="33"/>
      <c r="J108" s="33"/>
      <c r="K108" s="33"/>
      <c r="L108" s="33"/>
      <c r="M108" s="33"/>
      <c r="N108" s="33"/>
      <c r="O108" s="1015"/>
      <c r="P108" s="31"/>
    </row>
    <row r="109" spans="1:16" ht="13" customHeight="1">
      <c r="A109" s="1026"/>
      <c r="G109" s="33"/>
      <c r="H109" s="33"/>
      <c r="I109" s="33"/>
      <c r="J109" s="33"/>
      <c r="K109" s="33"/>
      <c r="L109" s="33"/>
      <c r="M109" s="33"/>
      <c r="N109" s="33"/>
      <c r="O109" s="1015"/>
      <c r="P109" s="31"/>
    </row>
    <row r="110" spans="1:16" ht="13" customHeight="1">
      <c r="A110" s="1033"/>
      <c r="G110" s="33"/>
      <c r="H110" s="33"/>
      <c r="I110" s="33"/>
      <c r="J110" s="33"/>
      <c r="K110" s="33"/>
      <c r="L110" s="33"/>
      <c r="M110" s="33"/>
      <c r="N110" s="33"/>
      <c r="O110" s="1015"/>
      <c r="P110" s="31"/>
    </row>
    <row r="111" spans="1:16" ht="13" customHeight="1">
      <c r="A111" s="1026"/>
      <c r="G111" s="33"/>
      <c r="H111" s="33"/>
      <c r="I111" s="33"/>
      <c r="J111" s="33"/>
      <c r="K111" s="33"/>
      <c r="L111" s="33"/>
      <c r="M111" s="33"/>
      <c r="N111" s="33"/>
      <c r="O111" s="1015"/>
      <c r="P111" s="31"/>
    </row>
    <row r="112" spans="1:16" ht="13" customHeight="1">
      <c r="A112" s="1026"/>
      <c r="G112" s="33"/>
      <c r="H112" s="33"/>
      <c r="I112" s="33"/>
      <c r="J112" s="33"/>
      <c r="K112" s="33"/>
      <c r="L112" s="33"/>
      <c r="M112" s="33"/>
      <c r="N112" s="33"/>
      <c r="O112" s="1015"/>
      <c r="P112" s="31"/>
    </row>
    <row r="113" spans="1:16" ht="13" customHeight="1">
      <c r="A113" s="1026"/>
      <c r="G113" s="33"/>
      <c r="H113" s="33"/>
      <c r="I113" s="33"/>
      <c r="J113" s="33"/>
      <c r="K113" s="33"/>
      <c r="L113" s="33"/>
      <c r="M113" s="33"/>
      <c r="N113" s="33"/>
      <c r="O113" s="1015"/>
      <c r="P113" s="31"/>
    </row>
    <row r="114" spans="1:16" ht="13" customHeight="1">
      <c r="A114" s="1026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1015"/>
      <c r="P114" s="31"/>
    </row>
    <row r="115" spans="1:16" ht="13" customHeight="1">
      <c r="A115" s="1026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O115" s="1015"/>
      <c r="P115" s="31"/>
    </row>
    <row r="116" spans="1:16" ht="13" customHeight="1">
      <c r="A116" s="1026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O116" s="1015"/>
      <c r="P116" s="31"/>
    </row>
    <row r="117" spans="1:16" ht="13" customHeight="1">
      <c r="A117" s="1026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O117" s="1015"/>
      <c r="P117" s="31"/>
    </row>
    <row r="118" spans="1:16" ht="13" customHeight="1">
      <c r="A118" s="1026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O118" s="1015"/>
      <c r="P118" s="31"/>
    </row>
    <row r="119" spans="1:16" ht="13" customHeight="1">
      <c r="A119" s="1026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O119" s="1015"/>
      <c r="P119" s="31"/>
    </row>
    <row r="120" spans="1:16" ht="13" customHeight="1">
      <c r="A120" s="1026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O120" s="1015"/>
      <c r="P120" s="31"/>
    </row>
    <row r="121" spans="1:16" ht="13" customHeight="1">
      <c r="A121" s="1026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O121" s="1015"/>
      <c r="P121" s="31"/>
    </row>
    <row r="122" spans="1:16" ht="13" customHeight="1">
      <c r="A122" s="1026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1015"/>
      <c r="P122" s="31"/>
    </row>
    <row r="123" spans="1:16" ht="13" customHeight="1">
      <c r="A123" s="1026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745">
        <f>(1.188*закулисье!V18)+I10</f>
        <v>6.9399999999999995</v>
      </c>
      <c r="N123" s="745"/>
      <c r="O123" s="1015"/>
      <c r="P123" s="31"/>
    </row>
    <row r="124" spans="1:16" ht="13" customHeight="1">
      <c r="A124" s="1026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745"/>
      <c r="N124" s="745"/>
      <c r="O124" s="1015"/>
      <c r="P124" s="31"/>
    </row>
    <row r="125" spans="1:16" ht="13" customHeight="1">
      <c r="A125" s="1026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745"/>
      <c r="N125" s="745"/>
      <c r="O125" s="1015"/>
      <c r="P125" s="31"/>
    </row>
    <row r="126" spans="1:16" ht="13" customHeight="1">
      <c r="A126" s="1026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745"/>
      <c r="N126" s="745"/>
      <c r="O126" s="1015"/>
      <c r="P126" s="31"/>
    </row>
    <row r="127" spans="1:16" ht="13" customHeight="1">
      <c r="A127" s="1026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745"/>
      <c r="N127" s="745"/>
      <c r="O127" s="1015"/>
      <c r="P127" s="31"/>
    </row>
    <row r="128" spans="1:16" ht="13" customHeight="1">
      <c r="A128" s="1026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745"/>
      <c r="N128" s="745"/>
      <c r="O128" s="1015"/>
      <c r="P128" s="31"/>
    </row>
    <row r="129" spans="1:16" ht="13" customHeight="1">
      <c r="A129" s="1026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745"/>
      <c r="N129" s="745"/>
      <c r="O129" s="1015"/>
      <c r="P129" s="31"/>
    </row>
    <row r="130" spans="1:16" ht="13" customHeight="1">
      <c r="A130" s="1026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1015"/>
      <c r="P130" s="31"/>
    </row>
    <row r="131" spans="1:16" ht="13" customHeight="1">
      <c r="A131" s="1026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1015"/>
      <c r="P131" s="31"/>
    </row>
    <row r="132" spans="1:16" ht="13" customHeight="1">
      <c r="A132" s="1026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1015"/>
      <c r="P132" s="31"/>
    </row>
    <row r="133" spans="1:16" ht="13" customHeight="1">
      <c r="A133" s="1026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1015"/>
      <c r="P133" s="31"/>
    </row>
    <row r="134" spans="1:16" ht="13" customHeight="1">
      <c r="A134" s="1026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1015"/>
      <c r="P134" s="31"/>
    </row>
    <row r="135" spans="1:16" ht="13" customHeight="1">
      <c r="A135" s="1026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1015"/>
      <c r="P135" s="31"/>
    </row>
    <row r="136" spans="1:16" ht="13" customHeight="1">
      <c r="A136" s="1026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1015"/>
      <c r="P136" s="31"/>
    </row>
    <row r="137" spans="1:16" ht="13" customHeight="1">
      <c r="A137" s="1026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1015"/>
      <c r="P137" s="31"/>
    </row>
    <row r="138" spans="1:16" ht="13" customHeight="1">
      <c r="A138" s="1026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1015"/>
      <c r="P138" s="31"/>
    </row>
    <row r="139" spans="1:16" ht="13" customHeight="1">
      <c r="A139" s="1026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1015"/>
      <c r="P139" s="31"/>
    </row>
    <row r="140" spans="1:16" ht="13" customHeight="1">
      <c r="A140" s="1026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1015"/>
      <c r="P140" s="31"/>
    </row>
    <row r="141" spans="1:16" ht="13" customHeight="1">
      <c r="A141" s="1026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1015"/>
      <c r="P141" s="31"/>
    </row>
    <row r="142" spans="1:16" ht="13" customHeight="1">
      <c r="A142" s="1026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1015"/>
      <c r="P142" s="31"/>
    </row>
    <row r="143" spans="1:16" ht="13" customHeight="1">
      <c r="A143" s="1026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1015"/>
      <c r="P143" s="31"/>
    </row>
    <row r="144" spans="1:16" ht="13" customHeight="1">
      <c r="A144" s="1026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1015"/>
      <c r="P144" s="31"/>
    </row>
    <row r="145" spans="1:16" ht="13" customHeight="1">
      <c r="A145" s="1026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1015"/>
      <c r="P145" s="31"/>
    </row>
    <row r="146" spans="1:16" ht="13" customHeight="1">
      <c r="A146" s="1026"/>
      <c r="B146" s="33"/>
      <c r="C146" s="33"/>
      <c r="D146" s="33"/>
      <c r="E146" s="33"/>
      <c r="F146" s="746" t="s">
        <v>781</v>
      </c>
      <c r="G146" s="746"/>
      <c r="H146" s="746"/>
      <c r="I146" s="746"/>
      <c r="J146" s="746"/>
      <c r="K146" s="33"/>
      <c r="L146" s="33"/>
      <c r="M146" s="33"/>
      <c r="N146" s="33"/>
      <c r="O146" s="1015"/>
      <c r="P146" s="31"/>
    </row>
    <row r="147" spans="1:16" ht="13" customHeight="1">
      <c r="A147" s="1026"/>
      <c r="B147" s="33"/>
      <c r="C147" s="33"/>
      <c r="D147" s="33"/>
      <c r="E147" s="33"/>
      <c r="F147" s="746"/>
      <c r="G147" s="746"/>
      <c r="H147" s="746"/>
      <c r="I147" s="746"/>
      <c r="J147" s="746"/>
      <c r="K147" s="33"/>
      <c r="L147" s="33"/>
      <c r="M147" s="33"/>
      <c r="N147" s="33"/>
      <c r="O147" s="1015"/>
      <c r="P147" s="31"/>
    </row>
    <row r="148" spans="1:16" ht="13" customHeight="1" thickBot="1">
      <c r="A148" s="1026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1015"/>
      <c r="P148" s="31"/>
    </row>
    <row r="149" spans="1:16" ht="13" customHeight="1" thickTop="1">
      <c r="A149" s="1026"/>
      <c r="B149" s="1050" t="s">
        <v>789</v>
      </c>
      <c r="C149" s="1051"/>
      <c r="D149" s="1051"/>
      <c r="E149" s="1051"/>
      <c r="F149" s="1051"/>
      <c r="G149" s="1051"/>
      <c r="H149" s="1051"/>
      <c r="I149" s="1051"/>
      <c r="J149" s="1051"/>
      <c r="K149" s="1051"/>
      <c r="L149" s="1051"/>
      <c r="M149" s="1051"/>
      <c r="N149" s="1052"/>
      <c r="O149" s="1015"/>
      <c r="P149" s="31"/>
    </row>
    <row r="150" spans="1:16" ht="13" customHeight="1">
      <c r="A150" s="1026"/>
      <c r="B150" s="1053"/>
      <c r="C150" s="1054"/>
      <c r="D150" s="1054"/>
      <c r="E150" s="1054"/>
      <c r="F150" s="1054"/>
      <c r="G150" s="1054"/>
      <c r="H150" s="1054"/>
      <c r="I150" s="1054"/>
      <c r="J150" s="1054"/>
      <c r="K150" s="1054"/>
      <c r="L150" s="1054"/>
      <c r="M150" s="1054"/>
      <c r="N150" s="1055"/>
      <c r="O150" s="1015"/>
      <c r="P150" s="31"/>
    </row>
    <row r="151" spans="1:16" ht="13" customHeight="1">
      <c r="A151" s="1026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015"/>
      <c r="P151" s="31"/>
    </row>
    <row r="152" spans="1:16" ht="13" customHeight="1">
      <c r="A152" s="1026"/>
      <c r="B152" s="33"/>
      <c r="C152" s="33"/>
      <c r="D152" s="86"/>
      <c r="E152" s="86"/>
      <c r="F152" s="86"/>
      <c r="G152" s="86"/>
      <c r="H152" s="86"/>
      <c r="I152" s="86"/>
      <c r="J152" s="86"/>
      <c r="K152" s="86"/>
      <c r="L152" s="86"/>
      <c r="M152" s="33"/>
      <c r="N152" s="33"/>
      <c r="O152" s="1015"/>
      <c r="P152" s="31"/>
    </row>
    <row r="153" spans="1:16" ht="13" customHeight="1">
      <c r="A153" s="1026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1015"/>
      <c r="P153" s="31"/>
    </row>
    <row r="154" spans="1:16" ht="13" customHeight="1">
      <c r="A154" s="1026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1015"/>
      <c r="P154" s="31"/>
    </row>
    <row r="155" spans="1:16" ht="13" customHeight="1">
      <c r="A155" s="1026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1015"/>
      <c r="P155" s="31"/>
    </row>
    <row r="156" spans="1:16" ht="13" customHeight="1">
      <c r="A156" s="1026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1015"/>
      <c r="P156" s="31"/>
    </row>
    <row r="157" spans="1:16" ht="13" customHeight="1">
      <c r="A157" s="1026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1015"/>
      <c r="P157" s="31"/>
    </row>
    <row r="158" spans="1:16" ht="13" customHeight="1">
      <c r="A158" s="1026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1015"/>
      <c r="P158" s="31"/>
    </row>
    <row r="159" spans="1:16" ht="13" customHeight="1">
      <c r="A159" s="1026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1015"/>
      <c r="P159" s="31"/>
    </row>
    <row r="160" spans="1:16" ht="13" customHeight="1">
      <c r="A160" s="1026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1015"/>
      <c r="P160" s="31"/>
    </row>
    <row r="161" spans="1:16" ht="13" customHeight="1">
      <c r="A161" s="1026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1015"/>
      <c r="P161" s="31"/>
    </row>
    <row r="162" spans="1:16" ht="13" customHeight="1">
      <c r="A162" s="1026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1015"/>
      <c r="P162" s="31"/>
    </row>
    <row r="163" spans="1:16" ht="13" customHeight="1">
      <c r="A163" s="1026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1015"/>
    </row>
    <row r="164" spans="1:16" ht="13" customHeight="1">
      <c r="A164" s="1026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1015"/>
    </row>
    <row r="165" spans="1:16" ht="13" customHeight="1">
      <c r="A165" s="1026"/>
      <c r="M165" s="735">
        <f>(закулисье!$V$18*0.828)+$I$10</f>
        <v>5.14</v>
      </c>
      <c r="N165" s="735"/>
      <c r="O165" s="1015"/>
    </row>
    <row r="166" spans="1:16" ht="13" customHeight="1">
      <c r="A166" s="1026"/>
      <c r="M166" s="735"/>
      <c r="N166" s="735"/>
      <c r="O166" s="1015"/>
    </row>
    <row r="167" spans="1:16" ht="13" customHeight="1">
      <c r="A167" s="1026"/>
      <c r="M167" s="735"/>
      <c r="N167" s="735"/>
      <c r="O167" s="1015"/>
    </row>
    <row r="168" spans="1:16" ht="13" customHeight="1">
      <c r="A168" s="1026"/>
      <c r="M168" s="735"/>
      <c r="N168" s="735"/>
      <c r="O168" s="1015"/>
    </row>
    <row r="169" spans="1:16" ht="13" customHeight="1">
      <c r="A169" s="1026"/>
      <c r="M169" s="735"/>
      <c r="N169" s="735"/>
      <c r="O169" s="1015"/>
    </row>
    <row r="170" spans="1:16" ht="13" customHeight="1">
      <c r="A170" s="1026"/>
      <c r="O170" s="1015"/>
    </row>
    <row r="171" spans="1:16" ht="13" customHeight="1">
      <c r="A171" s="1026"/>
      <c r="O171" s="1015"/>
    </row>
    <row r="172" spans="1:16" ht="13" customHeight="1">
      <c r="A172" s="1026"/>
      <c r="O172" s="1015"/>
    </row>
    <row r="173" spans="1:16" ht="13" customHeight="1">
      <c r="A173" s="1026"/>
      <c r="O173" s="1015"/>
    </row>
    <row r="174" spans="1:16" ht="13" customHeight="1">
      <c r="A174" s="1026"/>
      <c r="O174" s="1015"/>
    </row>
    <row r="175" spans="1:16" ht="13" customHeight="1">
      <c r="A175" s="1026"/>
      <c r="O175" s="1015"/>
    </row>
    <row r="176" spans="1:16" ht="13" customHeight="1">
      <c r="A176" s="1026"/>
      <c r="O176" s="1015"/>
    </row>
    <row r="177" spans="1:15" ht="13" customHeight="1">
      <c r="A177" s="1026"/>
      <c r="O177" s="1015"/>
    </row>
    <row r="178" spans="1:15" ht="13" customHeight="1">
      <c r="A178" s="1026"/>
      <c r="O178" s="1017"/>
    </row>
    <row r="179" spans="1:15" ht="13" customHeight="1">
      <c r="A179" s="1026"/>
      <c r="O179" s="1015"/>
    </row>
    <row r="180" spans="1:15" ht="13" customHeight="1">
      <c r="A180" s="1026"/>
      <c r="O180" s="1015"/>
    </row>
    <row r="181" spans="1:15" ht="13" customHeight="1">
      <c r="A181" s="1026"/>
      <c r="O181" s="1015"/>
    </row>
    <row r="182" spans="1:15" ht="13" customHeight="1">
      <c r="A182" s="1026"/>
      <c r="O182" s="1015"/>
    </row>
    <row r="183" spans="1:15" ht="13" customHeight="1">
      <c r="A183" s="1026"/>
      <c r="F183" s="746" t="s">
        <v>781</v>
      </c>
      <c r="G183" s="746"/>
      <c r="H183" s="746"/>
      <c r="I183" s="746"/>
      <c r="J183" s="746"/>
      <c r="O183" s="1015"/>
    </row>
    <row r="184" spans="1:15" ht="13" customHeight="1">
      <c r="A184" s="1026"/>
      <c r="F184" s="746"/>
      <c r="G184" s="746"/>
      <c r="H184" s="746"/>
      <c r="I184" s="746"/>
      <c r="J184" s="746"/>
      <c r="O184" s="1015"/>
    </row>
    <row r="185" spans="1:15" ht="13" customHeight="1" thickBot="1">
      <c r="A185" s="1026"/>
      <c r="B185" s="1041"/>
      <c r="C185" s="1042"/>
      <c r="D185" s="1042"/>
      <c r="E185" s="1042"/>
      <c r="F185" s="1042"/>
      <c r="G185" s="1042"/>
      <c r="H185" s="1042"/>
      <c r="I185" s="1042"/>
      <c r="J185" s="1042"/>
      <c r="K185" s="1042"/>
      <c r="L185" s="1042"/>
      <c r="M185" s="1042"/>
      <c r="N185" s="1043"/>
      <c r="O185" s="1015"/>
    </row>
    <row r="186" spans="1:15" ht="13" customHeight="1" thickTop="1">
      <c r="A186" s="1026"/>
      <c r="O186" s="1015"/>
    </row>
    <row r="187" spans="1:15" ht="13" customHeight="1">
      <c r="A187" s="1026"/>
      <c r="O187" s="1015"/>
    </row>
    <row r="188" spans="1:15" ht="13" customHeight="1">
      <c r="A188" s="1026"/>
      <c r="O188" s="1015"/>
    </row>
    <row r="189" spans="1:15" ht="13" customHeight="1">
      <c r="A189" s="1026"/>
      <c r="O189" s="1015"/>
    </row>
    <row r="190" spans="1:15" ht="13" customHeight="1">
      <c r="A190" s="1026"/>
      <c r="O190" s="1015"/>
    </row>
    <row r="191" spans="1:15" ht="13" customHeight="1">
      <c r="A191" s="1026"/>
      <c r="O191" s="1015"/>
    </row>
    <row r="192" spans="1:15" ht="13" customHeight="1">
      <c r="A192" s="1026"/>
      <c r="O192" s="1015"/>
    </row>
    <row r="193" spans="1:15" ht="13" customHeight="1">
      <c r="A193" s="1026"/>
      <c r="O193" s="1015"/>
    </row>
    <row r="194" spans="1:15" ht="13" customHeight="1">
      <c r="A194" s="1026"/>
      <c r="O194" s="1015"/>
    </row>
    <row r="195" spans="1:15" ht="13" customHeight="1">
      <c r="A195" s="1026"/>
      <c r="O195" s="1015"/>
    </row>
    <row r="196" spans="1:15" ht="13" customHeight="1">
      <c r="A196" s="1026"/>
      <c r="O196" s="1015"/>
    </row>
    <row r="197" spans="1:15" ht="13" customHeight="1">
      <c r="A197" s="1026"/>
      <c r="O197" s="1015"/>
    </row>
    <row r="198" spans="1:15" ht="13" customHeight="1">
      <c r="A198" s="1026"/>
      <c r="O198" s="1015"/>
    </row>
    <row r="199" spans="1:15" ht="13" customHeight="1">
      <c r="A199" s="1026"/>
      <c r="O199" s="1015"/>
    </row>
    <row r="200" spans="1:15" ht="13" customHeight="1">
      <c r="A200" s="1026"/>
      <c r="O200" s="1015"/>
    </row>
    <row r="201" spans="1:15" ht="13" customHeight="1">
      <c r="A201" s="1026"/>
      <c r="O201" s="1015"/>
    </row>
    <row r="202" spans="1:15" ht="13" customHeight="1">
      <c r="A202" s="1026"/>
      <c r="O202" s="1015"/>
    </row>
    <row r="203" spans="1:15" ht="13" customHeight="1">
      <c r="A203" s="1026"/>
      <c r="O203" s="1015"/>
    </row>
    <row r="204" spans="1:15" ht="13" customHeight="1">
      <c r="A204" s="1026"/>
      <c r="O204" s="1015"/>
    </row>
    <row r="205" spans="1:15" ht="13" customHeight="1">
      <c r="A205" s="1026"/>
      <c r="O205" s="1015"/>
    </row>
    <row r="206" spans="1:15" ht="13" customHeight="1">
      <c r="A206" s="1026"/>
      <c r="O206" s="1015"/>
    </row>
    <row r="207" spans="1:15" ht="13" customHeight="1">
      <c r="A207" s="1026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1015"/>
    </row>
    <row r="208" spans="1:15" ht="13" customHeight="1">
      <c r="A208" s="1026"/>
      <c r="O208" s="1015"/>
    </row>
    <row r="209" spans="1:15" ht="13" customHeight="1">
      <c r="A209" s="1026"/>
      <c r="O209" s="1015"/>
    </row>
    <row r="210" spans="1:15" ht="13" customHeight="1">
      <c r="A210" s="1026"/>
      <c r="O210" s="1015"/>
    </row>
    <row r="211" spans="1:15" ht="13" customHeight="1">
      <c r="A211" s="1026"/>
      <c r="O211" s="1015"/>
    </row>
    <row r="212" spans="1:15" ht="13" customHeight="1">
      <c r="A212" s="1026"/>
      <c r="O212" s="1015"/>
    </row>
    <row r="213" spans="1:15" ht="13" customHeight="1">
      <c r="A213" s="1026"/>
      <c r="O213" s="1015"/>
    </row>
    <row r="214" spans="1:15" ht="13" customHeight="1">
      <c r="A214" s="1026"/>
      <c r="O214" s="1015"/>
    </row>
    <row r="215" spans="1:15" ht="13" customHeight="1">
      <c r="A215" s="1026"/>
      <c r="O215" s="1015"/>
    </row>
    <row r="216" spans="1:15" ht="13" customHeight="1">
      <c r="A216" s="1026"/>
      <c r="O216" s="1015"/>
    </row>
    <row r="217" spans="1:15" ht="13" customHeight="1">
      <c r="A217" s="1026"/>
      <c r="O217" s="1015"/>
    </row>
    <row r="218" spans="1:15" ht="13" customHeight="1">
      <c r="A218" s="1026"/>
      <c r="O218" s="1015"/>
    </row>
    <row r="219" spans="1:15" ht="13" customHeight="1">
      <c r="A219" s="1026"/>
      <c r="O219" s="1015"/>
    </row>
    <row r="220" spans="1:15" ht="13" customHeight="1">
      <c r="A220" s="1026"/>
      <c r="O220" s="1015"/>
    </row>
    <row r="221" spans="1:15" ht="13" customHeight="1">
      <c r="A221" s="1026"/>
      <c r="O221" s="1015"/>
    </row>
    <row r="222" spans="1:15" ht="13" customHeight="1">
      <c r="A222" s="1026"/>
      <c r="O222" s="1015"/>
    </row>
    <row r="223" spans="1:15" ht="13" customHeight="1">
      <c r="A223" s="1026"/>
      <c r="O223" s="1015"/>
    </row>
    <row r="224" spans="1:15" ht="13" customHeight="1">
      <c r="A224" s="1026"/>
      <c r="O224" s="1015"/>
    </row>
    <row r="225" spans="1:15" ht="13" customHeight="1">
      <c r="A225" s="1026"/>
      <c r="O225" s="1015"/>
    </row>
    <row r="226" spans="1:15" ht="13" customHeight="1">
      <c r="A226" s="1026"/>
      <c r="O226" s="1015"/>
    </row>
    <row r="227" spans="1:15" ht="13" customHeight="1">
      <c r="A227" s="1026"/>
      <c r="O227" s="1015"/>
    </row>
    <row r="228" spans="1:15" ht="13" customHeight="1">
      <c r="A228" s="1026"/>
      <c r="O228" s="1015"/>
    </row>
    <row r="229" spans="1:15" ht="13" customHeight="1">
      <c r="A229" s="1026"/>
      <c r="O229" s="1015"/>
    </row>
    <row r="230" spans="1:15" ht="13" customHeight="1">
      <c r="A230" s="1026"/>
      <c r="O230" s="1015"/>
    </row>
    <row r="231" spans="1:15" ht="13" customHeight="1">
      <c r="A231" s="1026"/>
      <c r="O231" s="1015"/>
    </row>
    <row r="232" spans="1:15" ht="13" customHeight="1">
      <c r="A232" s="1026"/>
      <c r="O232" s="1015"/>
    </row>
    <row r="233" spans="1:15" ht="13" customHeight="1">
      <c r="A233" s="1026"/>
      <c r="O233" s="1015"/>
    </row>
    <row r="234" spans="1:15" ht="13" customHeight="1">
      <c r="A234" s="1026"/>
      <c r="O234" s="1015"/>
    </row>
    <row r="235" spans="1:15" ht="13" customHeight="1">
      <c r="A235" s="1026"/>
      <c r="O235" s="1015"/>
    </row>
    <row r="236" spans="1:15" ht="13" customHeight="1">
      <c r="A236" s="1026"/>
      <c r="O236" s="1015"/>
    </row>
    <row r="237" spans="1:15" ht="13" customHeight="1">
      <c r="A237" s="1026"/>
      <c r="O237" s="1015"/>
    </row>
    <row r="238" spans="1:15" ht="13" customHeight="1">
      <c r="A238" s="1026"/>
      <c r="O238" s="1015"/>
    </row>
    <row r="239" spans="1:15" ht="13" customHeight="1">
      <c r="A239" s="1026"/>
      <c r="O239" s="1015"/>
    </row>
    <row r="240" spans="1:15" ht="13" customHeight="1">
      <c r="A240" s="1026"/>
      <c r="O240" s="1015"/>
    </row>
    <row r="241" spans="1:16" ht="13" customHeight="1">
      <c r="A241" s="1026"/>
      <c r="O241" s="1015"/>
    </row>
    <row r="242" spans="1:16" ht="13" customHeight="1">
      <c r="A242" s="1026"/>
      <c r="O242" s="1015"/>
    </row>
    <row r="243" spans="1:16" ht="13" customHeight="1">
      <c r="A243" s="1026"/>
      <c r="F243" s="746" t="s">
        <v>782</v>
      </c>
      <c r="G243" s="746"/>
      <c r="H243" s="746"/>
      <c r="I243" s="746"/>
      <c r="J243" s="746"/>
      <c r="O243" s="1015"/>
    </row>
    <row r="244" spans="1:16" ht="13" customHeight="1" thickBot="1">
      <c r="A244" s="1026"/>
      <c r="F244" s="746"/>
      <c r="G244" s="746"/>
      <c r="H244" s="746"/>
      <c r="I244" s="746"/>
      <c r="J244" s="746"/>
      <c r="O244" s="1015"/>
    </row>
    <row r="245" spans="1:16" ht="13" customHeight="1" thickTop="1">
      <c r="A245" s="1026"/>
      <c r="B245" s="1044" t="s">
        <v>790</v>
      </c>
      <c r="C245" s="1045"/>
      <c r="D245" s="1045"/>
      <c r="E245" s="1045"/>
      <c r="F245" s="1045"/>
      <c r="G245" s="1045"/>
      <c r="H245" s="1045"/>
      <c r="I245" s="1045"/>
      <c r="J245" s="1045"/>
      <c r="K245" s="1045"/>
      <c r="L245" s="1045"/>
      <c r="M245" s="1045"/>
      <c r="N245" s="1046"/>
      <c r="O245" s="1015"/>
    </row>
    <row r="246" spans="1:16" ht="13" customHeight="1">
      <c r="A246" s="1026"/>
      <c r="B246" s="1047"/>
      <c r="C246" s="1048"/>
      <c r="D246" s="1048"/>
      <c r="E246" s="1048"/>
      <c r="F246" s="1048"/>
      <c r="G246" s="1048"/>
      <c r="H246" s="1048"/>
      <c r="I246" s="1048"/>
      <c r="J246" s="1048"/>
      <c r="K246" s="1048"/>
      <c r="L246" s="1048"/>
      <c r="M246" s="1048"/>
      <c r="N246" s="1049"/>
      <c r="O246" s="1015"/>
    </row>
    <row r="247" spans="1:16" ht="13" customHeight="1">
      <c r="A247" s="1026"/>
      <c r="B247" s="44"/>
      <c r="C247" s="101">
        <f>985.1598852*закулисье!$V$18</f>
        <v>4925.7994259999996</v>
      </c>
      <c r="D247" s="773"/>
      <c r="E247" s="71"/>
      <c r="F247" s="71"/>
      <c r="G247" s="71"/>
      <c r="H247" s="71"/>
      <c r="I247" s="71"/>
      <c r="J247" s="71"/>
      <c r="K247" s="71"/>
      <c r="L247" s="71"/>
      <c r="M247" s="101">
        <f>403.5482698*закулисье!$V$18</f>
        <v>2017.7413490000001</v>
      </c>
      <c r="N247" s="44"/>
      <c r="O247" s="1015"/>
    </row>
    <row r="248" spans="1:16" ht="13" customHeight="1">
      <c r="A248" s="1026"/>
      <c r="C248" s="101">
        <f>982.2469752*закулисье!$V$18</f>
        <v>4911.2348759999995</v>
      </c>
      <c r="D248" s="773"/>
      <c r="E248" s="87"/>
      <c r="F248" s="87"/>
      <c r="G248" s="87"/>
      <c r="H248" s="87"/>
      <c r="I248" s="87"/>
      <c r="J248" s="87"/>
      <c r="K248" s="87"/>
      <c r="L248" s="87"/>
      <c r="M248" s="101">
        <f>412.1028065*закулисье!$V$18</f>
        <v>2060.5140324999998</v>
      </c>
      <c r="O248" s="1015"/>
    </row>
    <row r="249" spans="1:16" ht="13" customHeight="1">
      <c r="A249" s="1026"/>
      <c r="H249" s="805">
        <f>M247</f>
        <v>2017.7413490000001</v>
      </c>
      <c r="I249" s="805"/>
      <c r="K249" s="79"/>
      <c r="L249" s="79"/>
      <c r="M249" s="79"/>
      <c r="N249" s="79"/>
      <c r="O249" s="1015"/>
      <c r="P249" s="79"/>
    </row>
    <row r="250" spans="1:16" ht="13" customHeight="1">
      <c r="A250" s="1026"/>
      <c r="H250" s="805"/>
      <c r="I250" s="805"/>
      <c r="K250" s="79"/>
      <c r="L250" s="79"/>
      <c r="M250" s="79"/>
      <c r="N250" s="79"/>
      <c r="O250" s="1017"/>
      <c r="P250" s="79"/>
    </row>
    <row r="251" spans="1:16" ht="13" customHeight="1">
      <c r="A251" s="1026"/>
      <c r="B251" s="72"/>
      <c r="C251" s="72"/>
      <c r="D251" s="72"/>
      <c r="E251" s="72"/>
      <c r="F251" s="72"/>
      <c r="G251" s="72"/>
      <c r="H251" s="72"/>
      <c r="I251" s="72"/>
      <c r="J251" s="72"/>
      <c r="K251" s="83"/>
      <c r="L251" s="83"/>
      <c r="M251" s="83"/>
      <c r="N251" s="79"/>
      <c r="O251" s="1015"/>
      <c r="P251" s="79"/>
    </row>
    <row r="252" spans="1:16" ht="13" customHeight="1">
      <c r="A252" s="1026"/>
      <c r="B252" s="72"/>
      <c r="C252" s="72"/>
      <c r="D252" s="72"/>
      <c r="E252" s="781">
        <f>M248</f>
        <v>2060.5140324999998</v>
      </c>
      <c r="F252" s="781"/>
      <c r="G252" s="72"/>
      <c r="H252" s="72"/>
      <c r="I252" s="72"/>
      <c r="J252" s="783">
        <f>M248</f>
        <v>2060.5140324999998</v>
      </c>
      <c r="K252" s="783"/>
      <c r="L252" s="83"/>
      <c r="M252" s="83"/>
      <c r="N252" s="79"/>
      <c r="O252" s="1015"/>
      <c r="P252" s="79"/>
    </row>
    <row r="253" spans="1:16" ht="13" customHeight="1">
      <c r="A253" s="1026"/>
      <c r="B253" s="72"/>
      <c r="C253" s="72"/>
      <c r="D253" s="72"/>
      <c r="E253" s="72"/>
      <c r="F253" s="72"/>
      <c r="G253" s="72"/>
      <c r="H253" s="72"/>
      <c r="I253" s="72"/>
      <c r="J253" s="783"/>
      <c r="K253" s="783"/>
      <c r="L253" s="83"/>
      <c r="M253" s="83"/>
      <c r="N253" s="79"/>
      <c r="O253" s="1017"/>
      <c r="P253" s="79"/>
    </row>
    <row r="254" spans="1:16" ht="13" customHeight="1">
      <c r="A254" s="1026"/>
      <c r="B254" s="72"/>
      <c r="C254" s="72"/>
      <c r="D254" s="72"/>
      <c r="E254" s="72"/>
      <c r="F254" s="72"/>
      <c r="G254" s="72"/>
      <c r="H254" s="72"/>
      <c r="I254" s="72"/>
      <c r="J254" s="72"/>
      <c r="K254" s="83"/>
      <c r="L254" s="83"/>
      <c r="M254" s="83"/>
      <c r="N254" s="79"/>
      <c r="O254" s="1015"/>
      <c r="P254" s="79"/>
    </row>
    <row r="255" spans="1:16" ht="13" customHeight="1">
      <c r="A255" s="1026"/>
      <c r="B255" s="72"/>
      <c r="C255" s="72"/>
      <c r="D255" s="72"/>
      <c r="E255" s="72"/>
      <c r="F255" s="72"/>
      <c r="G255" s="72"/>
      <c r="H255" s="72"/>
      <c r="I255" s="72"/>
      <c r="J255" s="72"/>
      <c r="K255" s="83"/>
      <c r="L255" s="83"/>
      <c r="M255" s="83"/>
      <c r="N255" s="79"/>
      <c r="O255" s="1015"/>
      <c r="P255" s="79"/>
    </row>
    <row r="256" spans="1:16" ht="13" customHeight="1">
      <c r="A256" s="1026"/>
      <c r="B256" s="72"/>
      <c r="C256" s="72"/>
      <c r="D256" s="72"/>
      <c r="E256" s="72"/>
      <c r="F256" s="72"/>
      <c r="G256" s="72"/>
      <c r="H256" s="72"/>
      <c r="I256" s="72"/>
      <c r="J256" s="72"/>
      <c r="K256" s="83"/>
      <c r="L256" s="83"/>
      <c r="M256" s="83"/>
      <c r="N256" s="79"/>
      <c r="O256" s="1015"/>
      <c r="P256" s="79"/>
    </row>
    <row r="257" spans="1:16" ht="13" customHeight="1">
      <c r="A257" s="1026"/>
      <c r="B257" s="72"/>
      <c r="C257" s="72"/>
      <c r="D257" s="72"/>
      <c r="E257" s="72"/>
      <c r="F257" s="72"/>
      <c r="G257" s="72"/>
      <c r="H257" s="72"/>
      <c r="I257" s="72"/>
      <c r="J257" s="72"/>
      <c r="K257" s="83"/>
      <c r="L257" s="83"/>
      <c r="M257" s="83"/>
      <c r="N257" s="79"/>
      <c r="O257" s="1015"/>
      <c r="P257" s="79"/>
    </row>
    <row r="258" spans="1:16" ht="13" customHeight="1">
      <c r="A258" s="1026"/>
      <c r="B258" s="72"/>
      <c r="C258" s="72"/>
      <c r="D258" s="72"/>
      <c r="E258" s="72"/>
      <c r="F258" s="72"/>
      <c r="G258" s="72"/>
      <c r="H258" s="72"/>
      <c r="I258" s="72"/>
      <c r="J258" s="72"/>
      <c r="K258" s="83"/>
      <c r="L258" s="83"/>
      <c r="M258" s="83"/>
      <c r="N258" s="79"/>
      <c r="O258" s="1015"/>
      <c r="P258" s="79"/>
    </row>
    <row r="259" spans="1:16" ht="13" customHeight="1">
      <c r="A259" s="1026"/>
      <c r="B259" s="72"/>
      <c r="C259" s="72"/>
      <c r="D259" s="77">
        <f>M248</f>
        <v>2060.5140324999998</v>
      </c>
      <c r="E259" s="72"/>
      <c r="F259" s="72"/>
      <c r="G259" s="72"/>
      <c r="H259" s="72"/>
      <c r="I259" s="72"/>
      <c r="J259" s="72"/>
      <c r="K259" s="83"/>
      <c r="L259" s="85">
        <f>M248</f>
        <v>2060.5140324999998</v>
      </c>
      <c r="M259" s="83"/>
      <c r="N259" s="79"/>
      <c r="O259" s="1015"/>
      <c r="P259" s="79"/>
    </row>
    <row r="260" spans="1:16" ht="13" customHeight="1">
      <c r="A260" s="1026"/>
      <c r="B260" s="72"/>
      <c r="C260" s="72"/>
      <c r="D260" s="72"/>
      <c r="E260" s="72"/>
      <c r="F260" s="72"/>
      <c r="G260" s="72"/>
      <c r="H260" s="72"/>
      <c r="I260" s="72"/>
      <c r="J260" s="72"/>
      <c r="K260" s="83"/>
      <c r="L260" s="83"/>
      <c r="M260" s="83"/>
      <c r="N260" s="79"/>
      <c r="O260" s="1015"/>
      <c r="P260" s="79"/>
    </row>
    <row r="261" spans="1:16" ht="13" customHeight="1">
      <c r="A261" s="1026"/>
      <c r="B261" s="72"/>
      <c r="C261" s="72"/>
      <c r="D261" s="72"/>
      <c r="E261" s="72"/>
      <c r="F261" s="72"/>
      <c r="G261" s="72"/>
      <c r="H261" s="72"/>
      <c r="I261" s="72"/>
      <c r="J261" s="72"/>
      <c r="K261" s="83"/>
      <c r="L261" s="83"/>
      <c r="M261" s="83"/>
      <c r="N261" s="79"/>
      <c r="O261" s="1015"/>
      <c r="P261" s="79"/>
    </row>
    <row r="262" spans="1:16" ht="13" customHeight="1">
      <c r="A262" s="1026"/>
      <c r="B262" s="72"/>
      <c r="C262" s="72"/>
      <c r="D262" s="72"/>
      <c r="E262" s="72"/>
      <c r="F262" s="72"/>
      <c r="G262" s="72"/>
      <c r="H262" s="72"/>
      <c r="I262" s="72"/>
      <c r="J262" s="72"/>
      <c r="K262" s="83"/>
      <c r="L262" s="83"/>
      <c r="M262" s="83"/>
      <c r="N262" s="79"/>
      <c r="O262" s="1015"/>
      <c r="P262" s="79"/>
    </row>
    <row r="263" spans="1:16" ht="13" customHeight="1">
      <c r="A263" s="1026"/>
      <c r="B263" s="72"/>
      <c r="C263" s="72"/>
      <c r="D263" s="72"/>
      <c r="E263" s="72"/>
      <c r="F263" s="72"/>
      <c r="G263" s="72"/>
      <c r="H263" s="73">
        <f>C247</f>
        <v>4925.7994259999996</v>
      </c>
      <c r="I263" s="74">
        <f>C247</f>
        <v>4925.7994259999996</v>
      </c>
      <c r="J263" s="72"/>
      <c r="K263" s="83"/>
      <c r="L263" s="83"/>
      <c r="M263" s="83"/>
      <c r="N263" s="79"/>
      <c r="O263" s="1015"/>
      <c r="P263" s="79"/>
    </row>
    <row r="264" spans="1:16" ht="13" customHeight="1">
      <c r="A264" s="1026"/>
      <c r="B264" s="72"/>
      <c r="C264" s="72"/>
      <c r="D264" s="72"/>
      <c r="E264" s="72"/>
      <c r="F264" s="72"/>
      <c r="G264" s="72"/>
      <c r="H264" s="72"/>
      <c r="I264" s="72"/>
      <c r="K264" s="83"/>
      <c r="L264" s="83"/>
      <c r="M264" s="83"/>
      <c r="N264" s="79"/>
      <c r="O264" s="1015"/>
      <c r="P264" s="79"/>
    </row>
    <row r="265" spans="1:16" ht="13" customHeight="1">
      <c r="A265" s="1026"/>
      <c r="B265" s="72"/>
      <c r="C265" s="72"/>
      <c r="D265" s="72"/>
      <c r="E265" s="72"/>
      <c r="F265" s="72"/>
      <c r="G265" s="72"/>
      <c r="J265" s="73">
        <f>C248</f>
        <v>4911.2348759999995</v>
      </c>
      <c r="K265" s="83"/>
      <c r="L265" s="83"/>
      <c r="M265" s="83"/>
      <c r="N265" s="79"/>
      <c r="O265" s="1015"/>
      <c r="P265" s="79"/>
    </row>
    <row r="266" spans="1:16" ht="13" customHeight="1">
      <c r="A266" s="1026"/>
      <c r="B266" s="72"/>
      <c r="C266" s="72"/>
      <c r="D266" s="72"/>
      <c r="E266" s="72"/>
      <c r="F266" s="76">
        <f>C248</f>
        <v>4911.2348759999995</v>
      </c>
      <c r="G266" s="72"/>
      <c r="H266" s="72"/>
      <c r="I266" s="72"/>
      <c r="K266" s="83"/>
      <c r="L266" s="83"/>
      <c r="M266" s="83"/>
      <c r="N266" s="79"/>
      <c r="O266" s="1015"/>
      <c r="P266" s="79"/>
    </row>
    <row r="267" spans="1:16" ht="13" customHeight="1">
      <c r="A267" s="1026"/>
      <c r="B267" s="72"/>
      <c r="C267" s="72"/>
      <c r="D267" s="72"/>
      <c r="E267" s="72"/>
      <c r="F267" s="72"/>
      <c r="G267" s="72"/>
      <c r="H267" s="72"/>
      <c r="I267" s="72"/>
      <c r="J267" s="72"/>
      <c r="K267" s="83"/>
      <c r="L267" s="83"/>
      <c r="M267" s="83"/>
      <c r="N267" s="79"/>
      <c r="O267" s="1015"/>
      <c r="P267" s="79"/>
    </row>
    <row r="268" spans="1:16" ht="13" customHeight="1">
      <c r="A268" s="1026"/>
      <c r="B268" s="72"/>
      <c r="C268" s="72"/>
      <c r="D268" s="72"/>
      <c r="E268" s="72"/>
      <c r="F268" s="72"/>
      <c r="G268" s="72"/>
      <c r="H268" s="72"/>
      <c r="I268" s="72"/>
      <c r="J268" s="72"/>
      <c r="K268" s="83"/>
      <c r="L268" s="83"/>
      <c r="M268" s="83"/>
      <c r="N268" s="79"/>
      <c r="O268" s="1015"/>
      <c r="P268" s="79"/>
    </row>
    <row r="269" spans="1:16" ht="13" customHeight="1">
      <c r="A269" s="1026"/>
      <c r="B269" s="72"/>
      <c r="C269" s="75">
        <f>M247</f>
        <v>2017.7413490000001</v>
      </c>
      <c r="D269" s="72"/>
      <c r="E269" s="72"/>
      <c r="F269" s="72"/>
      <c r="G269" s="72"/>
      <c r="H269" s="72"/>
      <c r="I269" s="72"/>
      <c r="J269" s="72"/>
      <c r="K269" s="83"/>
      <c r="L269" s="83"/>
      <c r="M269" s="782">
        <f>M247</f>
        <v>2017.7413490000001</v>
      </c>
      <c r="N269" s="782"/>
      <c r="O269" s="1015"/>
      <c r="P269" s="79"/>
    </row>
    <row r="270" spans="1:16" ht="13" customHeight="1">
      <c r="A270" s="1026"/>
      <c r="B270" s="72"/>
      <c r="C270" s="72"/>
      <c r="D270" s="72"/>
      <c r="E270" s="779">
        <f>C247</f>
        <v>4925.7994259999996</v>
      </c>
      <c r="F270" s="72"/>
      <c r="G270" s="72"/>
      <c r="H270" s="72"/>
      <c r="I270" s="72"/>
      <c r="J270" s="72"/>
      <c r="K270" s="83">
        <f>C247</f>
        <v>4925.7994259999996</v>
      </c>
      <c r="L270" s="83"/>
      <c r="M270" s="782"/>
      <c r="N270" s="782"/>
      <c r="O270" s="1015"/>
      <c r="P270" s="79"/>
    </row>
    <row r="271" spans="1:16" ht="13" customHeight="1">
      <c r="A271" s="1026"/>
      <c r="B271" s="72"/>
      <c r="C271" s="72"/>
      <c r="D271" s="72"/>
      <c r="E271" s="779"/>
      <c r="F271" s="72"/>
      <c r="G271" s="72"/>
      <c r="H271" s="72"/>
      <c r="I271" s="72"/>
      <c r="J271" s="72"/>
      <c r="K271" s="83"/>
      <c r="L271" s="83"/>
      <c r="M271" s="83"/>
      <c r="N271" s="79"/>
      <c r="O271" s="1015"/>
      <c r="P271" s="79"/>
    </row>
    <row r="272" spans="1:16" ht="13" customHeight="1">
      <c r="A272" s="1026"/>
      <c r="B272" s="72"/>
      <c r="C272" s="72"/>
      <c r="D272" s="72"/>
      <c r="E272" s="72"/>
      <c r="F272" s="72"/>
      <c r="G272" s="72"/>
      <c r="H272" s="72"/>
      <c r="I272" s="72"/>
      <c r="J272" s="72"/>
      <c r="K272" s="83"/>
      <c r="L272" s="83"/>
      <c r="M272" s="83"/>
      <c r="N272" s="79"/>
      <c r="O272" s="1015"/>
      <c r="P272" s="79"/>
    </row>
    <row r="273" spans="1:16" ht="13" customHeight="1">
      <c r="A273" s="1026"/>
      <c r="B273" s="72"/>
      <c r="C273" s="72"/>
      <c r="D273" s="72"/>
      <c r="E273" s="72"/>
      <c r="F273" s="72"/>
      <c r="G273" s="72"/>
      <c r="H273" s="72"/>
      <c r="I273" s="72"/>
      <c r="J273" s="72"/>
      <c r="K273" s="83"/>
      <c r="L273" s="83"/>
      <c r="M273" s="83"/>
      <c r="N273" s="79"/>
      <c r="O273" s="1015"/>
      <c r="P273" s="79"/>
    </row>
    <row r="274" spans="1:16" ht="13" customHeight="1">
      <c r="A274" s="1026"/>
      <c r="B274" s="72"/>
      <c r="C274" s="72"/>
      <c r="D274" s="72"/>
      <c r="E274" s="72"/>
      <c r="F274" s="72"/>
      <c r="G274" s="72"/>
      <c r="H274" s="72"/>
      <c r="I274" s="72"/>
      <c r="J274" s="72"/>
      <c r="K274" s="83"/>
      <c r="L274" s="83"/>
      <c r="M274" s="83"/>
      <c r="N274" s="79"/>
      <c r="O274" s="1015"/>
      <c r="P274" s="79"/>
    </row>
    <row r="275" spans="1:16" ht="13" customHeight="1">
      <c r="A275" s="1026"/>
      <c r="B275" s="72"/>
      <c r="C275" s="72"/>
      <c r="D275" s="72"/>
      <c r="E275" s="72"/>
      <c r="F275" s="72"/>
      <c r="G275" s="72"/>
      <c r="H275" s="72"/>
      <c r="I275" s="72"/>
      <c r="J275" s="72"/>
      <c r="K275" s="83"/>
      <c r="L275" s="83"/>
      <c r="M275" s="83"/>
      <c r="N275" s="79"/>
      <c r="O275" s="1015"/>
      <c r="P275" s="79"/>
    </row>
    <row r="276" spans="1:16" ht="13" customHeight="1">
      <c r="A276" s="1026"/>
      <c r="B276" s="72"/>
      <c r="C276" s="72"/>
      <c r="D276" s="72"/>
      <c r="E276" s="780">
        <f>C247</f>
        <v>4925.7994259999996</v>
      </c>
      <c r="F276" s="72"/>
      <c r="G276" s="72"/>
      <c r="H276" s="72"/>
      <c r="I276" s="72"/>
      <c r="J276" s="72"/>
      <c r="K276" s="778">
        <f>C247</f>
        <v>4925.7994259999996</v>
      </c>
      <c r="L276" s="778"/>
      <c r="M276" s="83"/>
      <c r="N276" s="79"/>
      <c r="O276" s="1015"/>
      <c r="P276" s="79"/>
    </row>
    <row r="277" spans="1:16" ht="13" customHeight="1">
      <c r="A277" s="1026"/>
      <c r="B277" s="72"/>
      <c r="C277" s="72"/>
      <c r="D277" s="72"/>
      <c r="E277" s="780"/>
      <c r="F277" s="72"/>
      <c r="G277" s="72"/>
      <c r="H277" s="72"/>
      <c r="I277" s="72"/>
      <c r="J277" s="72"/>
      <c r="K277" s="83"/>
      <c r="L277" s="83"/>
      <c r="M277" s="83"/>
      <c r="N277" s="79"/>
      <c r="O277" s="1015"/>
      <c r="P277" s="79"/>
    </row>
    <row r="278" spans="1:16" ht="13" customHeight="1">
      <c r="A278" s="1026"/>
      <c r="B278" s="72"/>
      <c r="C278" s="72"/>
      <c r="D278" s="72"/>
      <c r="E278" s="72"/>
      <c r="F278" s="72"/>
      <c r="G278" s="72"/>
      <c r="H278" s="72"/>
      <c r="I278" s="72"/>
      <c r="J278" s="72"/>
      <c r="K278" s="83"/>
      <c r="L278" s="83"/>
      <c r="M278" s="83"/>
      <c r="N278" s="79"/>
      <c r="O278" s="1015"/>
      <c r="P278" s="79"/>
    </row>
    <row r="279" spans="1:16" ht="13" customHeight="1">
      <c r="A279" s="1026"/>
      <c r="B279" s="72"/>
      <c r="C279" s="72"/>
      <c r="D279" s="72"/>
      <c r="E279" s="72"/>
      <c r="F279" s="72"/>
      <c r="G279" s="72"/>
      <c r="H279" s="72"/>
      <c r="I279" s="72"/>
      <c r="J279" s="72"/>
      <c r="K279" s="83"/>
      <c r="L279" s="83"/>
      <c r="M279" s="83"/>
      <c r="N279" s="79"/>
      <c r="O279" s="1015"/>
      <c r="P279" s="79"/>
    </row>
    <row r="280" spans="1:16" ht="13" customHeight="1">
      <c r="A280" s="1026"/>
      <c r="B280" s="72"/>
      <c r="C280" s="72"/>
      <c r="D280" s="72"/>
      <c r="E280" s="72"/>
      <c r="F280" s="72"/>
      <c r="G280" s="72"/>
      <c r="H280" s="72"/>
      <c r="I280" s="72"/>
      <c r="J280" s="72"/>
      <c r="K280" s="83"/>
      <c r="L280" s="83"/>
      <c r="M280" s="83"/>
      <c r="N280" s="79"/>
      <c r="O280" s="1015"/>
      <c r="P280" s="79"/>
    </row>
    <row r="281" spans="1:16" ht="13" customHeight="1">
      <c r="A281" s="1026"/>
      <c r="B281" s="738">
        <f>M248</f>
        <v>2060.5140324999998</v>
      </c>
      <c r="C281" s="738"/>
      <c r="D281" s="72"/>
      <c r="E281" s="72"/>
      <c r="F281" s="72"/>
      <c r="G281" s="72"/>
      <c r="H281" s="72"/>
      <c r="I281" s="72"/>
      <c r="J281" s="72"/>
      <c r="K281" s="83"/>
      <c r="L281" s="83"/>
      <c r="M281" s="83"/>
      <c r="N281" s="84">
        <f>M248</f>
        <v>2060.5140324999998</v>
      </c>
      <c r="O281" s="1015"/>
      <c r="P281" s="79"/>
    </row>
    <row r="282" spans="1:16" ht="13" customHeight="1">
      <c r="A282" s="1026"/>
      <c r="B282" s="72"/>
      <c r="C282" s="72"/>
      <c r="D282" s="72"/>
      <c r="E282" s="73">
        <f>C248</f>
        <v>4911.2348759999995</v>
      </c>
      <c r="F282" s="72"/>
      <c r="G282" s="72"/>
      <c r="H282" s="72"/>
      <c r="I282" s="72"/>
      <c r="J282" s="72"/>
      <c r="K282" s="83">
        <f>C248</f>
        <v>4911.2348759999995</v>
      </c>
      <c r="L282" s="83"/>
      <c r="M282" s="83"/>
      <c r="N282" s="79"/>
      <c r="O282" s="1015"/>
      <c r="P282" s="79"/>
    </row>
    <row r="283" spans="1:16" ht="13" customHeight="1">
      <c r="A283" s="1026"/>
      <c r="B283" s="72"/>
      <c r="C283" s="72"/>
      <c r="D283" s="72"/>
      <c r="E283" s="72"/>
      <c r="F283" s="72"/>
      <c r="G283" s="72"/>
      <c r="H283" s="72"/>
      <c r="I283" s="72"/>
      <c r="J283" s="72"/>
      <c r="K283" s="83"/>
      <c r="L283" s="83"/>
      <c r="M283" s="83"/>
      <c r="N283" s="79"/>
      <c r="O283" s="1015"/>
      <c r="P283" s="79"/>
    </row>
    <row r="284" spans="1:16" ht="13" customHeight="1">
      <c r="A284" s="1026"/>
      <c r="B284" s="72"/>
      <c r="C284" s="72"/>
      <c r="D284" s="72"/>
      <c r="E284" s="72"/>
      <c r="F284" s="72"/>
      <c r="G284" s="72"/>
      <c r="H284" s="72"/>
      <c r="I284" s="72"/>
      <c r="J284" s="72"/>
      <c r="K284" s="83"/>
      <c r="L284" s="83"/>
      <c r="M284" s="83"/>
      <c r="N284" s="79"/>
      <c r="O284" s="1015"/>
      <c r="P284" s="79"/>
    </row>
    <row r="285" spans="1:16" ht="13" customHeight="1">
      <c r="A285" s="1026"/>
      <c r="B285" s="72"/>
      <c r="C285" s="72"/>
      <c r="D285" s="72"/>
      <c r="E285" s="72"/>
      <c r="F285" s="72"/>
      <c r="G285" s="72"/>
      <c r="H285" s="72"/>
      <c r="I285" s="72"/>
      <c r="J285" s="72"/>
      <c r="K285" s="83"/>
      <c r="L285" s="83"/>
      <c r="M285" s="83"/>
      <c r="N285" s="79"/>
      <c r="O285" s="1015"/>
      <c r="P285" s="79"/>
    </row>
    <row r="286" spans="1:16" ht="13" customHeight="1">
      <c r="A286" s="1026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O286" s="1015"/>
    </row>
    <row r="287" spans="1:16" ht="13" customHeight="1">
      <c r="A287" s="1026"/>
      <c r="B287" s="72"/>
      <c r="C287" s="72"/>
      <c r="D287" s="72"/>
      <c r="E287" s="72"/>
      <c r="F287" s="73">
        <f>C247</f>
        <v>4925.7994259999996</v>
      </c>
      <c r="G287" s="72"/>
      <c r="H287" s="72"/>
      <c r="I287" s="72"/>
      <c r="J287" s="72">
        <f>C247</f>
        <v>4925.7994259999996</v>
      </c>
      <c r="K287" s="72"/>
      <c r="L287" s="72"/>
      <c r="M287" s="72"/>
      <c r="O287" s="1015"/>
    </row>
    <row r="288" spans="1:16" ht="13" customHeight="1">
      <c r="A288" s="1026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O288" s="1015"/>
    </row>
    <row r="289" spans="1:16" ht="13" customHeight="1">
      <c r="A289" s="1026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O289" s="1015"/>
    </row>
    <row r="290" spans="1:16" ht="13" customHeight="1">
      <c r="A290" s="1026"/>
      <c r="B290" s="72"/>
      <c r="C290" s="72"/>
      <c r="D290" s="72"/>
      <c r="E290" s="72"/>
      <c r="F290" s="72"/>
      <c r="G290" s="74">
        <f>C247</f>
        <v>4925.7994259999996</v>
      </c>
      <c r="H290" s="72"/>
      <c r="I290" s="72">
        <f>C247</f>
        <v>4925.7994259999996</v>
      </c>
      <c r="J290" s="72"/>
      <c r="K290" s="72"/>
      <c r="L290" s="72"/>
      <c r="M290" s="72"/>
      <c r="O290" s="1015"/>
    </row>
    <row r="291" spans="1:16" ht="13" customHeight="1">
      <c r="A291" s="1026"/>
      <c r="B291" s="72"/>
      <c r="C291" s="72"/>
      <c r="D291" s="72"/>
      <c r="E291" s="72"/>
      <c r="F291" s="72"/>
      <c r="G291" s="72"/>
      <c r="I291" s="72"/>
      <c r="J291" s="72"/>
      <c r="K291" s="72"/>
      <c r="L291" s="72"/>
      <c r="M291" s="72"/>
      <c r="O291" s="1015"/>
    </row>
    <row r="292" spans="1:16" ht="13" customHeight="1">
      <c r="A292" s="1026"/>
      <c r="B292" s="72"/>
      <c r="C292" s="78">
        <f>M248</f>
        <v>2060.5140324999998</v>
      </c>
      <c r="D292" s="72"/>
      <c r="E292" s="72"/>
      <c r="F292" s="72"/>
      <c r="G292" s="72"/>
      <c r="H292" s="806">
        <f>C248</f>
        <v>4911.2348759999995</v>
      </c>
      <c r="I292" s="806"/>
      <c r="J292" s="72"/>
      <c r="K292" s="72"/>
      <c r="L292" s="72"/>
      <c r="M292" s="82">
        <f>M248</f>
        <v>2060.5140324999998</v>
      </c>
      <c r="O292" s="1015"/>
    </row>
    <row r="293" spans="1:16" ht="13" customHeight="1">
      <c r="A293" s="1026"/>
      <c r="O293" s="1015"/>
    </row>
    <row r="294" spans="1:16" ht="13" customHeight="1">
      <c r="A294" s="1026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1015"/>
      <c r="P294" s="80"/>
    </row>
    <row r="295" spans="1:16" ht="13" customHeight="1">
      <c r="A295" s="1026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1015"/>
      <c r="P295" s="80"/>
    </row>
    <row r="296" spans="1:16" ht="13" customHeight="1">
      <c r="A296" s="1026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1015"/>
      <c r="P296" s="80"/>
    </row>
    <row r="297" spans="1:16" ht="13" customHeight="1">
      <c r="A297" s="1026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1015"/>
      <c r="P297" s="80"/>
    </row>
    <row r="298" spans="1:16" ht="13" customHeight="1">
      <c r="A298" s="1026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1015"/>
      <c r="P298" s="80"/>
    </row>
    <row r="299" spans="1:16" ht="13" customHeight="1">
      <c r="A299" s="1026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1015"/>
      <c r="P299" s="80"/>
    </row>
    <row r="300" spans="1:16" ht="13" customHeight="1">
      <c r="A300" s="1026"/>
      <c r="B300" s="80"/>
      <c r="C300" s="80"/>
      <c r="D300" s="791">
        <f>M247</f>
        <v>2017.7413490000001</v>
      </c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1015"/>
      <c r="P300" s="80"/>
    </row>
    <row r="301" spans="1:16" ht="13" customHeight="1">
      <c r="A301" s="1026"/>
      <c r="B301" s="80"/>
      <c r="C301" s="80"/>
      <c r="D301" s="791"/>
      <c r="E301" s="80"/>
      <c r="F301" s="80"/>
      <c r="G301" s="80"/>
      <c r="H301" s="80"/>
      <c r="I301" s="80"/>
      <c r="J301" s="80"/>
      <c r="K301" s="80"/>
      <c r="L301" s="81">
        <f>M247</f>
        <v>2017.7413490000001</v>
      </c>
      <c r="M301" s="80"/>
      <c r="N301" s="80"/>
      <c r="O301" s="1015"/>
      <c r="P301" s="80"/>
    </row>
    <row r="302" spans="1:16" ht="13" customHeight="1">
      <c r="A302" s="1026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1015"/>
      <c r="P302" s="80"/>
    </row>
    <row r="303" spans="1:16" ht="13" customHeight="1">
      <c r="A303" s="1026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1015"/>
      <c r="P303" s="80"/>
    </row>
    <row r="304" spans="1:16" ht="13" customHeight="1">
      <c r="A304" s="1026"/>
      <c r="B304" s="80"/>
      <c r="C304" s="80"/>
      <c r="D304" s="80"/>
      <c r="E304" s="80"/>
      <c r="F304" s="80"/>
      <c r="G304" s="776">
        <f>M248</f>
        <v>2060.5140324999998</v>
      </c>
      <c r="H304" s="80"/>
      <c r="I304" s="80"/>
      <c r="J304" s="80"/>
      <c r="K304" s="80"/>
      <c r="L304" s="80"/>
      <c r="M304" s="80"/>
      <c r="N304" s="80"/>
      <c r="O304" s="1015"/>
      <c r="P304" s="80"/>
    </row>
    <row r="305" spans="1:16" ht="13" customHeight="1">
      <c r="A305" s="1026"/>
      <c r="B305" s="80"/>
      <c r="C305" s="80"/>
      <c r="D305" s="80"/>
      <c r="E305" s="80"/>
      <c r="F305" s="80"/>
      <c r="G305" s="776"/>
      <c r="H305" s="80"/>
      <c r="I305" s="777">
        <f>M248</f>
        <v>2060.5140324999998</v>
      </c>
      <c r="J305" s="80"/>
      <c r="K305" s="80"/>
      <c r="L305" s="80"/>
      <c r="M305" s="80"/>
      <c r="N305" s="80"/>
      <c r="O305" s="1015"/>
      <c r="P305" s="80"/>
    </row>
    <row r="306" spans="1:16" ht="13" customHeight="1">
      <c r="A306" s="1026"/>
      <c r="B306" s="80"/>
      <c r="C306" s="80"/>
      <c r="D306" s="80"/>
      <c r="E306" s="80"/>
      <c r="F306" s="80"/>
      <c r="G306" s="776"/>
      <c r="H306" s="80"/>
      <c r="I306" s="777"/>
      <c r="J306" s="80"/>
      <c r="K306" s="80"/>
      <c r="L306" s="80"/>
      <c r="M306" s="80"/>
      <c r="N306" s="80"/>
      <c r="O306" s="1015"/>
      <c r="P306" s="80"/>
    </row>
    <row r="307" spans="1:16" ht="13" customHeight="1">
      <c r="A307" s="1026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1015"/>
      <c r="P307" s="80"/>
    </row>
    <row r="308" spans="1:16" ht="13" customHeight="1">
      <c r="A308" s="1026"/>
      <c r="O308" s="1015"/>
    </row>
    <row r="309" spans="1:16" ht="13" customHeight="1">
      <c r="A309" s="1026"/>
      <c r="O309" s="1015"/>
    </row>
    <row r="310" spans="1:16" ht="13" customHeight="1">
      <c r="A310" s="1026"/>
      <c r="O310" s="1015"/>
    </row>
    <row r="311" spans="1:16" ht="13" customHeight="1">
      <c r="A311" s="1026"/>
      <c r="O311" s="1015"/>
    </row>
    <row r="312" spans="1:16" ht="13" customHeight="1">
      <c r="A312" s="1026"/>
      <c r="O312" s="1015"/>
    </row>
    <row r="313" spans="1:16" ht="13" customHeight="1">
      <c r="A313" s="1026"/>
      <c r="O313" s="1015"/>
    </row>
    <row r="314" spans="1:16" ht="13" customHeight="1">
      <c r="A314" s="1026"/>
      <c r="O314" s="1015"/>
    </row>
    <row r="315" spans="1:16" ht="13" customHeight="1">
      <c r="A315" s="1026"/>
      <c r="O315" s="1015"/>
    </row>
    <row r="316" spans="1:16" ht="13" customHeight="1">
      <c r="A316" s="1026"/>
      <c r="O316" s="1015"/>
    </row>
    <row r="317" spans="1:16" ht="13" customHeight="1">
      <c r="A317" s="1026"/>
      <c r="O317" s="1015"/>
    </row>
    <row r="318" spans="1:16" ht="13" customHeight="1">
      <c r="A318" s="1026"/>
      <c r="O318" s="1015"/>
    </row>
    <row r="319" spans="1:16" ht="13" customHeight="1">
      <c r="A319" s="1026"/>
      <c r="O319" s="1015"/>
    </row>
    <row r="320" spans="1:16" ht="13" customHeight="1">
      <c r="A320" s="1026"/>
      <c r="O320" s="1015"/>
    </row>
    <row r="321" spans="1:15" ht="13" customHeight="1">
      <c r="A321" s="1026"/>
      <c r="O321" s="1017"/>
    </row>
    <row r="322" spans="1:15" ht="13" customHeight="1">
      <c r="A322" s="1026"/>
      <c r="O322" s="1015"/>
    </row>
    <row r="323" spans="1:15" ht="13" customHeight="1">
      <c r="A323" s="1026"/>
      <c r="O323" s="1015"/>
    </row>
    <row r="324" spans="1:15" ht="13" customHeight="1">
      <c r="A324" s="1026"/>
      <c r="O324" s="1015"/>
    </row>
    <row r="325" spans="1:15" ht="13" customHeight="1">
      <c r="A325" s="1026"/>
      <c r="O325" s="1015"/>
    </row>
    <row r="326" spans="1:15" ht="13" customHeight="1">
      <c r="A326" s="1026"/>
      <c r="O326" s="1015"/>
    </row>
    <row r="327" spans="1:15" ht="13" customHeight="1">
      <c r="A327" s="1026"/>
      <c r="O327" s="1015"/>
    </row>
    <row r="328" spans="1:15" ht="13" customHeight="1">
      <c r="A328" s="1026"/>
      <c r="O328" s="1015"/>
    </row>
    <row r="329" spans="1:15" ht="13" customHeight="1">
      <c r="A329" s="1026"/>
      <c r="O329" s="1015"/>
    </row>
    <row r="330" spans="1:15" ht="13" customHeight="1">
      <c r="A330" s="1026"/>
      <c r="O330" s="1015"/>
    </row>
    <row r="331" spans="1:15" ht="13" customHeight="1">
      <c r="A331" s="1026"/>
      <c r="O331" s="1015"/>
    </row>
    <row r="332" spans="1:15" ht="13" customHeight="1">
      <c r="A332" s="1026"/>
      <c r="O332" s="1015"/>
    </row>
    <row r="333" spans="1:15" ht="13" customHeight="1">
      <c r="A333" s="1026"/>
      <c r="O333" s="1015"/>
    </row>
    <row r="334" spans="1:15" ht="13" customHeight="1">
      <c r="A334" s="1026"/>
      <c r="O334" s="1015"/>
    </row>
    <row r="335" spans="1:15" ht="13" customHeight="1">
      <c r="A335" s="1026"/>
      <c r="D335" s="746" t="s">
        <v>782</v>
      </c>
      <c r="E335" s="746"/>
      <c r="F335" s="746"/>
      <c r="G335" s="71"/>
      <c r="H335" s="71"/>
      <c r="I335" s="71"/>
      <c r="J335" s="792" t="s">
        <v>781</v>
      </c>
      <c r="K335" s="792"/>
      <c r="L335" s="792"/>
      <c r="O335" s="1015"/>
    </row>
    <row r="336" spans="1:15" ht="13" customHeight="1">
      <c r="A336" s="1026"/>
      <c r="D336" s="746"/>
      <c r="E336" s="746"/>
      <c r="F336" s="746"/>
      <c r="G336" s="71"/>
      <c r="H336" s="71"/>
      <c r="I336" s="71"/>
      <c r="J336" s="792"/>
      <c r="K336" s="792"/>
      <c r="L336" s="792"/>
      <c r="O336" s="1015"/>
    </row>
    <row r="337" spans="1:19" ht="13" customHeight="1">
      <c r="A337" s="1026"/>
      <c r="C337" s="746" t="s">
        <v>791</v>
      </c>
      <c r="D337" s="746"/>
      <c r="E337" s="746"/>
      <c r="F337" s="746"/>
      <c r="G337" s="746"/>
      <c r="H337" s="746"/>
      <c r="I337" s="746"/>
      <c r="J337" s="746"/>
      <c r="K337" s="746"/>
      <c r="L337" s="746"/>
      <c r="M337" s="746"/>
      <c r="O337" s="1015"/>
    </row>
    <row r="338" spans="1:19" ht="13" customHeight="1" thickBot="1">
      <c r="A338" s="1026"/>
      <c r="C338" s="746"/>
      <c r="D338" s="746"/>
      <c r="E338" s="746"/>
      <c r="F338" s="746"/>
      <c r="G338" s="746"/>
      <c r="H338" s="746"/>
      <c r="I338" s="746"/>
      <c r="J338" s="746"/>
      <c r="K338" s="746"/>
      <c r="L338" s="746"/>
      <c r="M338" s="746"/>
      <c r="O338" s="1015"/>
    </row>
    <row r="339" spans="1:19" ht="13" customHeight="1" thickTop="1">
      <c r="A339" s="1026"/>
      <c r="B339" s="1063" t="s">
        <v>622</v>
      </c>
      <c r="C339" s="1064"/>
      <c r="D339" s="1064"/>
      <c r="E339" s="1064"/>
      <c r="F339" s="1064"/>
      <c r="G339" s="1064"/>
      <c r="H339" s="1064"/>
      <c r="I339" s="1064"/>
      <c r="J339" s="1064"/>
      <c r="K339" s="1064"/>
      <c r="L339" s="1064"/>
      <c r="M339" s="1064"/>
      <c r="N339" s="1065"/>
      <c r="O339" s="1015"/>
    </row>
    <row r="340" spans="1:19" ht="16" customHeight="1">
      <c r="A340" s="1026"/>
      <c r="B340" s="1066"/>
      <c r="C340" s="1056"/>
      <c r="D340" s="1056"/>
      <c r="E340" s="1056"/>
      <c r="F340" s="1056"/>
      <c r="G340" s="1056"/>
      <c r="H340" s="1056"/>
      <c r="I340" s="1056"/>
      <c r="J340" s="1056"/>
      <c r="K340" s="1056"/>
      <c r="L340" s="1056"/>
      <c r="M340" s="1056"/>
      <c r="N340" s="1067"/>
      <c r="O340" s="1015"/>
    </row>
    <row r="341" spans="1:19" ht="11" customHeight="1">
      <c r="A341" s="1026"/>
      <c r="B341" s="1068"/>
      <c r="C341" s="1057"/>
      <c r="D341" s="1058" t="s">
        <v>785</v>
      </c>
      <c r="E341" s="731" t="s">
        <v>786</v>
      </c>
      <c r="F341" s="1059" t="s">
        <v>787</v>
      </c>
      <c r="G341" s="1059"/>
      <c r="H341" s="1057"/>
      <c r="I341" s="1060" t="s">
        <v>785</v>
      </c>
      <c r="J341" s="1060"/>
      <c r="K341" s="737" t="s">
        <v>788</v>
      </c>
      <c r="L341" s="1059" t="s">
        <v>787</v>
      </c>
      <c r="M341" s="1061"/>
      <c r="N341" s="1069"/>
      <c r="O341" s="1015"/>
      <c r="P341" s="2"/>
      <c r="Q341" s="2"/>
      <c r="R341" s="2"/>
      <c r="S341" s="2"/>
    </row>
    <row r="342" spans="1:19" ht="11" customHeight="1">
      <c r="A342" s="1026"/>
      <c r="B342" s="1070"/>
      <c r="C342" s="34"/>
      <c r="D342" s="1058"/>
      <c r="E342" s="731"/>
      <c r="F342" s="1059"/>
      <c r="G342" s="1059"/>
      <c r="H342" s="1062"/>
      <c r="I342" s="1060"/>
      <c r="J342" s="1060"/>
      <c r="K342" s="737"/>
      <c r="L342" s="1061"/>
      <c r="M342" s="1061"/>
      <c r="N342" s="1069"/>
      <c r="O342" s="1015"/>
      <c r="P342" s="36"/>
      <c r="Q342" s="2"/>
      <c r="R342" s="2"/>
      <c r="S342" s="2"/>
    </row>
    <row r="343" spans="1:19" ht="11" customHeight="1">
      <c r="A343" s="1026"/>
      <c r="B343" s="42"/>
      <c r="D343" s="41"/>
      <c r="E343" s="34"/>
      <c r="G343" s="88"/>
      <c r="H343" s="68"/>
      <c r="I343" s="34"/>
      <c r="L343" s="34"/>
      <c r="M343" s="34"/>
      <c r="N343" s="35"/>
      <c r="O343" s="1015"/>
      <c r="P343" s="36"/>
      <c r="Q343" s="2"/>
      <c r="R343" s="2"/>
      <c r="S343" s="2"/>
    </row>
    <row r="344" spans="1:19" ht="11" customHeight="1">
      <c r="A344" s="1026"/>
      <c r="C344" s="775">
        <f>закулисье!T19</f>
        <v>200</v>
      </c>
      <c r="D344" s="775"/>
      <c r="E344" s="34"/>
      <c r="F344" s="774">
        <f>закулисье!T19</f>
        <v>200</v>
      </c>
      <c r="G344" s="774"/>
      <c r="H344" s="68"/>
      <c r="I344" s="34"/>
      <c r="J344" s="732">
        <f>закулисье!T19</f>
        <v>200</v>
      </c>
      <c r="L344" s="34"/>
      <c r="M344" s="732">
        <f>J344</f>
        <v>200</v>
      </c>
      <c r="N344" s="35"/>
      <c r="O344" s="1015"/>
      <c r="P344" s="36"/>
      <c r="Q344" s="2"/>
      <c r="R344" s="2"/>
      <c r="S344" s="2"/>
    </row>
    <row r="345" spans="1:19" ht="11" customHeight="1">
      <c r="A345" s="1026"/>
      <c r="C345" s="775"/>
      <c r="D345" s="775"/>
      <c r="E345" s="34"/>
      <c r="F345" s="774"/>
      <c r="G345" s="774"/>
      <c r="H345" s="68"/>
      <c r="I345" s="34"/>
      <c r="J345" s="732"/>
      <c r="K345" s="35"/>
      <c r="L345" s="34"/>
      <c r="M345" s="732"/>
      <c r="N345" s="999">
        <f>E347</f>
        <v>38.342727999999966</v>
      </c>
      <c r="O345" s="1015"/>
      <c r="P345" s="36"/>
      <c r="Q345" s="2"/>
      <c r="R345" s="2"/>
      <c r="S345" s="2"/>
    </row>
    <row r="346" spans="1:19" ht="11" customHeight="1">
      <c r="A346" s="1026"/>
      <c r="B346" s="769">
        <f>D363-B363</f>
        <v>34.844988999999941</v>
      </c>
      <c r="C346" s="769"/>
      <c r="D346" s="34"/>
      <c r="E346" s="34"/>
      <c r="F346" s="34"/>
      <c r="H346" s="68"/>
      <c r="I346" s="34"/>
      <c r="J346" s="34"/>
      <c r="L346" s="34"/>
      <c r="M346" s="34"/>
      <c r="N346" s="999"/>
      <c r="O346" s="1015"/>
      <c r="P346" s="36"/>
      <c r="Q346" s="2"/>
      <c r="R346" s="2"/>
      <c r="S346" s="2"/>
    </row>
    <row r="347" spans="1:19" ht="11" customHeight="1">
      <c r="A347" s="1026"/>
      <c r="B347" s="769"/>
      <c r="C347" s="769"/>
      <c r="D347" s="34"/>
      <c r="E347" s="722">
        <f>G363-E365</f>
        <v>38.342727999999966</v>
      </c>
      <c r="F347" s="34"/>
      <c r="H347" s="68"/>
      <c r="I347" s="34"/>
      <c r="J347" s="34"/>
      <c r="K347" s="88"/>
      <c r="L347" s="34"/>
      <c r="M347" s="34"/>
      <c r="N347" s="34"/>
      <c r="O347" s="1015"/>
      <c r="P347" s="36"/>
      <c r="Q347" s="2"/>
      <c r="R347" s="2"/>
      <c r="S347" s="2"/>
    </row>
    <row r="348" spans="1:19" ht="11" customHeight="1">
      <c r="A348" s="1026"/>
      <c r="D348" s="34"/>
      <c r="E348" s="722"/>
      <c r="F348" s="34"/>
      <c r="H348" s="68"/>
      <c r="I348" s="34"/>
      <c r="J348" s="34"/>
      <c r="K348" s="722">
        <f>B346</f>
        <v>34.844988999999941</v>
      </c>
      <c r="L348" s="34"/>
      <c r="M348" s="34"/>
      <c r="N348" s="34"/>
      <c r="O348" s="1015"/>
      <c r="P348" s="36"/>
      <c r="Q348" s="2"/>
      <c r="R348" s="2"/>
      <c r="S348" s="2"/>
    </row>
    <row r="349" spans="1:19" ht="11" customHeight="1">
      <c r="A349" s="1026"/>
      <c r="D349" s="34"/>
      <c r="E349" s="34"/>
      <c r="F349" s="34"/>
      <c r="H349" s="68"/>
      <c r="I349" s="34"/>
      <c r="J349" s="34"/>
      <c r="K349" s="722"/>
      <c r="L349" s="34"/>
      <c r="M349" s="34"/>
      <c r="N349" s="34"/>
      <c r="O349" s="1015"/>
      <c r="P349" s="36"/>
      <c r="Q349" s="2"/>
      <c r="R349" s="2"/>
      <c r="S349" s="2"/>
    </row>
    <row r="350" spans="1:19" ht="11" customHeight="1">
      <c r="A350" s="1026"/>
      <c r="B350" s="42"/>
      <c r="C350" s="34"/>
      <c r="D350" s="34"/>
      <c r="E350" s="34"/>
      <c r="F350" s="34"/>
      <c r="H350" s="68"/>
      <c r="I350" s="34"/>
      <c r="J350" s="34"/>
      <c r="K350" s="34"/>
      <c r="L350" s="34"/>
      <c r="M350" s="34"/>
      <c r="N350" s="34"/>
      <c r="O350" s="1015"/>
      <c r="P350" s="36"/>
      <c r="Q350" s="2"/>
      <c r="R350" s="2"/>
      <c r="S350" s="2"/>
    </row>
    <row r="351" spans="1:19" ht="11" customHeight="1">
      <c r="A351" s="1026"/>
      <c r="B351" s="42"/>
      <c r="C351" s="34"/>
      <c r="D351" s="34"/>
      <c r="E351" s="34"/>
      <c r="F351" s="34"/>
      <c r="G351" s="751" t="s">
        <v>812</v>
      </c>
      <c r="H351" s="751"/>
      <c r="I351" s="751"/>
      <c r="J351" s="34"/>
      <c r="K351" s="34"/>
      <c r="L351" s="34"/>
      <c r="M351" s="34"/>
      <c r="N351" s="34"/>
      <c r="O351" s="1015"/>
      <c r="P351" s="36"/>
      <c r="Q351" s="2"/>
      <c r="R351" s="2"/>
      <c r="S351" s="2"/>
    </row>
    <row r="352" spans="1:19" ht="11" customHeight="1">
      <c r="A352" s="1026"/>
      <c r="B352" s="34"/>
      <c r="C352" s="34"/>
      <c r="D352" s="34"/>
      <c r="E352" s="34"/>
      <c r="G352" s="751"/>
      <c r="H352" s="751"/>
      <c r="I352" s="751"/>
      <c r="J352" s="34"/>
      <c r="K352" s="34"/>
      <c r="L352" s="34"/>
      <c r="M352" s="34"/>
      <c r="N352" s="34"/>
      <c r="O352" s="1015"/>
      <c r="P352" s="38"/>
      <c r="Q352" s="2"/>
      <c r="R352" s="2"/>
      <c r="S352" s="2"/>
    </row>
    <row r="353" spans="1:19" ht="11" customHeight="1">
      <c r="A353" s="1026"/>
      <c r="B353" s="34"/>
      <c r="C353" s="34"/>
      <c r="D353" s="34"/>
      <c r="E353" s="34"/>
      <c r="G353" s="751"/>
      <c r="H353" s="751"/>
      <c r="I353" s="751"/>
      <c r="J353" s="34"/>
      <c r="K353" s="39"/>
      <c r="M353" s="34"/>
      <c r="O353" s="1015"/>
      <c r="P353" s="38"/>
      <c r="Q353" s="2"/>
      <c r="R353" s="2"/>
      <c r="S353" s="2"/>
    </row>
    <row r="354" spans="1:19" ht="11" customHeight="1">
      <c r="A354" s="1026"/>
      <c r="B354" s="34"/>
      <c r="C354" s="34"/>
      <c r="D354" s="34"/>
      <c r="E354" s="34"/>
      <c r="F354" s="34"/>
      <c r="G354" s="97"/>
      <c r="H354" s="1072"/>
      <c r="I354" s="97"/>
      <c r="J354" s="34"/>
      <c r="K354" s="69"/>
      <c r="O354" s="1015"/>
      <c r="P354" s="38"/>
      <c r="Q354" s="2"/>
      <c r="R354" s="2"/>
      <c r="S354" s="2"/>
    </row>
    <row r="355" spans="1:19" ht="11" customHeight="1">
      <c r="A355" s="1026"/>
      <c r="B355" s="34"/>
      <c r="C355" s="34"/>
      <c r="D355" s="34"/>
      <c r="E355" s="34"/>
      <c r="F355" s="34"/>
      <c r="G355" s="98" t="s">
        <v>794</v>
      </c>
      <c r="H355" s="1073"/>
      <c r="I355" s="98"/>
      <c r="J355" s="34"/>
      <c r="O355" s="1015"/>
      <c r="P355" s="38"/>
      <c r="Q355" s="2"/>
      <c r="R355" s="2"/>
      <c r="S355" s="2"/>
    </row>
    <row r="356" spans="1:19" ht="11" customHeight="1">
      <c r="A356" s="1026"/>
      <c r="C356" s="34"/>
      <c r="D356" s="34"/>
      <c r="E356" s="34"/>
      <c r="G356" s="98"/>
      <c r="H356" s="1073"/>
      <c r="I356" s="98"/>
      <c r="J356" s="1"/>
      <c r="K356" s="69"/>
      <c r="O356" s="1015"/>
      <c r="P356" s="38"/>
      <c r="Q356" s="2"/>
      <c r="R356" s="2"/>
      <c r="S356" s="2"/>
    </row>
    <row r="357" spans="1:19" ht="11" customHeight="1">
      <c r="A357" s="1026"/>
      <c r="C357" s="34"/>
      <c r="D357" s="34"/>
      <c r="E357" s="34"/>
      <c r="G357" s="96"/>
      <c r="H357" s="1074"/>
      <c r="I357" s="96"/>
      <c r="K357" s="69"/>
      <c r="O357" s="1015"/>
      <c r="P357" s="37"/>
    </row>
    <row r="358" spans="1:19" ht="11" customHeight="1">
      <c r="A358" s="1026"/>
      <c r="B358" s="34"/>
      <c r="C358" s="34"/>
      <c r="D358" s="34"/>
      <c r="E358" s="34"/>
      <c r="F358" s="34"/>
      <c r="H358" s="68"/>
      <c r="I358" s="34"/>
      <c r="J358" s="51"/>
      <c r="K358" s="34"/>
      <c r="L358" s="34"/>
      <c r="O358" s="1015"/>
      <c r="P358" s="37"/>
    </row>
    <row r="359" spans="1:19" ht="11" customHeight="1">
      <c r="A359" s="1026"/>
      <c r="B359" s="34"/>
      <c r="C359" s="34"/>
      <c r="D359" s="34"/>
      <c r="E359" s="34"/>
      <c r="F359" s="34"/>
      <c r="H359" s="68"/>
      <c r="I359" s="34"/>
      <c r="J359" s="51"/>
      <c r="K359" s="34"/>
      <c r="L359" s="34"/>
      <c r="M359" s="34"/>
      <c r="N359" s="34"/>
      <c r="O359" s="1015"/>
      <c r="P359" s="37"/>
    </row>
    <row r="360" spans="1:19" ht="11" customHeight="1">
      <c r="A360" s="1026"/>
      <c r="B360" s="34"/>
      <c r="C360" s="34"/>
      <c r="D360" s="34"/>
      <c r="E360" s="34"/>
      <c r="F360" s="34"/>
      <c r="H360" s="68"/>
      <c r="I360" s="34"/>
      <c r="J360" s="34"/>
      <c r="K360" s="34"/>
      <c r="L360" s="34"/>
      <c r="M360" s="34"/>
      <c r="N360" s="34"/>
      <c r="O360" s="1015"/>
      <c r="P360" s="37"/>
    </row>
    <row r="361" spans="1:19" ht="11" customHeight="1">
      <c r="A361" s="1026"/>
      <c r="B361" s="34"/>
      <c r="C361" s="34"/>
      <c r="D361" s="34"/>
      <c r="E361" s="34"/>
      <c r="F361" s="34"/>
      <c r="H361" s="68"/>
      <c r="I361" s="34"/>
      <c r="J361" s="34"/>
      <c r="K361" s="34"/>
      <c r="L361" s="34"/>
      <c r="M361" s="34"/>
      <c r="N361" s="34"/>
      <c r="O361" s="1015"/>
      <c r="P361" s="37"/>
    </row>
    <row r="362" spans="1:19" ht="11" customHeight="1">
      <c r="A362" s="1026"/>
      <c r="B362" s="34"/>
      <c r="C362" s="34"/>
      <c r="D362" s="34"/>
      <c r="E362" s="34"/>
      <c r="F362" s="34"/>
      <c r="H362" s="68"/>
      <c r="I362" s="34"/>
      <c r="J362" s="34"/>
      <c r="K362" s="34"/>
      <c r="L362" s="34"/>
      <c r="M362" s="34"/>
      <c r="N362" s="34"/>
      <c r="O362" s="1015"/>
      <c r="P362" s="37"/>
    </row>
    <row r="363" spans="1:19" ht="11" customHeight="1">
      <c r="A363" s="1026"/>
      <c r="B363" s="722">
        <f>закулисье!I14</f>
        <v>1024.9524310000002</v>
      </c>
      <c r="C363" s="722"/>
      <c r="D363" s="739">
        <f>закулисье!H14</f>
        <v>1059.7974200000001</v>
      </c>
      <c r="E363" s="34"/>
      <c r="G363" s="731">
        <f>закулисье!H15</f>
        <v>983.3667290000003</v>
      </c>
      <c r="H363" s="1071"/>
      <c r="I363" s="731">
        <f>K364+K348</f>
        <v>979.86899000000028</v>
      </c>
      <c r="J363" s="34"/>
      <c r="K363" s="34"/>
      <c r="L363" s="731">
        <f>N363+N345</f>
        <v>1059.7974200000001</v>
      </c>
      <c r="M363" s="34"/>
      <c r="N363" s="731">
        <f>(D363-G363)+K364</f>
        <v>1021.4546920000001</v>
      </c>
      <c r="O363" s="1015"/>
      <c r="P363" s="37"/>
    </row>
    <row r="364" spans="1:19" ht="11" customHeight="1">
      <c r="A364" s="1026"/>
      <c r="B364" s="722"/>
      <c r="C364" s="722"/>
      <c r="D364" s="739"/>
      <c r="E364" s="34"/>
      <c r="G364" s="731"/>
      <c r="H364" s="1071"/>
      <c r="I364" s="731"/>
      <c r="J364" s="34"/>
      <c r="K364" s="731">
        <f>E365</f>
        <v>945.02400100000034</v>
      </c>
      <c r="L364" s="731"/>
      <c r="M364" s="34"/>
      <c r="N364" s="731"/>
      <c r="O364" s="1015"/>
      <c r="P364" s="37"/>
    </row>
    <row r="365" spans="1:19" ht="11" customHeight="1">
      <c r="A365" s="1026"/>
      <c r="B365" s="722"/>
      <c r="C365" s="722"/>
      <c r="D365" s="739"/>
      <c r="E365" s="737">
        <f>закулисье!I15</f>
        <v>945.02400100000034</v>
      </c>
      <c r="F365" s="39"/>
      <c r="G365" s="731"/>
      <c r="H365" s="1071"/>
      <c r="I365" s="731"/>
      <c r="J365" s="34"/>
      <c r="K365" s="731"/>
      <c r="L365" s="731"/>
      <c r="M365" s="34"/>
      <c r="N365" s="731"/>
      <c r="O365" s="1015"/>
      <c r="P365" s="37"/>
    </row>
    <row r="366" spans="1:19" ht="11" customHeight="1">
      <c r="A366" s="1026"/>
      <c r="B366" s="722"/>
      <c r="C366" s="722"/>
      <c r="D366" s="739"/>
      <c r="E366" s="737"/>
      <c r="F366" s="39"/>
      <c r="G366" s="731"/>
      <c r="H366" s="1071"/>
      <c r="I366" s="731"/>
      <c r="J366" s="34"/>
      <c r="K366" s="731"/>
      <c r="L366" s="731"/>
      <c r="M366" s="34"/>
      <c r="N366" s="731"/>
      <c r="O366" s="1015"/>
      <c r="P366" s="37"/>
    </row>
    <row r="367" spans="1:19" ht="11" customHeight="1">
      <c r="A367" s="1026"/>
      <c r="B367" s="722"/>
      <c r="C367" s="722"/>
      <c r="D367" s="739"/>
      <c r="E367" s="737"/>
      <c r="F367" s="34"/>
      <c r="G367" s="731"/>
      <c r="H367" s="1071"/>
      <c r="I367" s="731"/>
      <c r="J367" s="34"/>
      <c r="K367" s="731"/>
      <c r="L367" s="731"/>
      <c r="N367" s="731"/>
      <c r="O367" s="1015"/>
      <c r="P367" s="37"/>
    </row>
    <row r="368" spans="1:19" ht="11" customHeight="1">
      <c r="A368" s="1026"/>
      <c r="B368" s="722"/>
      <c r="C368" s="722"/>
      <c r="D368" s="34"/>
      <c r="E368" s="737"/>
      <c r="F368" s="34"/>
      <c r="G368" s="731"/>
      <c r="H368" s="1071"/>
      <c r="I368" s="731"/>
      <c r="J368" s="34"/>
      <c r="K368" s="731"/>
      <c r="L368" s="731"/>
      <c r="M368" s="45"/>
      <c r="N368" s="731"/>
      <c r="O368" s="1015"/>
      <c r="P368" s="37"/>
    </row>
    <row r="369" spans="1:16" ht="11" customHeight="1">
      <c r="A369" s="1026"/>
      <c r="B369" s="34"/>
      <c r="C369" s="34"/>
      <c r="D369" s="34"/>
      <c r="E369" s="737"/>
      <c r="F369" s="34"/>
      <c r="G369" s="34"/>
      <c r="H369" s="68"/>
      <c r="I369" s="731"/>
      <c r="J369" s="34"/>
      <c r="K369" s="731"/>
      <c r="L369" s="46"/>
      <c r="M369" s="45"/>
      <c r="N369" s="45"/>
      <c r="O369" s="1015"/>
      <c r="P369" s="37"/>
    </row>
    <row r="370" spans="1:16" ht="11" customHeight="1">
      <c r="A370" s="1026"/>
      <c r="B370" s="34"/>
      <c r="C370" s="34"/>
      <c r="D370" s="34"/>
      <c r="E370" s="34"/>
      <c r="F370" s="34"/>
      <c r="G370" s="34"/>
      <c r="H370" s="68"/>
      <c r="I370" s="34"/>
      <c r="J370" s="34"/>
      <c r="K370" s="731"/>
      <c r="L370" s="46"/>
      <c r="M370" s="45"/>
      <c r="N370" s="45"/>
      <c r="O370" s="1015"/>
      <c r="P370" s="37"/>
    </row>
    <row r="371" spans="1:16" ht="11" customHeight="1">
      <c r="A371" s="1026"/>
      <c r="B371" s="34"/>
      <c r="C371" s="34"/>
      <c r="D371" s="34"/>
      <c r="E371" s="34"/>
      <c r="F371" s="34"/>
      <c r="G371" s="34"/>
      <c r="H371" s="68"/>
      <c r="I371" s="34"/>
      <c r="J371" s="34"/>
      <c r="K371" s="34"/>
      <c r="L371" s="46"/>
      <c r="M371" s="45"/>
      <c r="N371" s="45"/>
      <c r="O371" s="1015"/>
      <c r="P371" s="37"/>
    </row>
    <row r="372" spans="1:16" ht="11" customHeight="1">
      <c r="A372" s="1026"/>
      <c r="B372" s="34"/>
      <c r="C372" s="34"/>
      <c r="D372" s="34"/>
      <c r="E372" s="34"/>
      <c r="F372" s="34"/>
      <c r="G372" s="34"/>
      <c r="H372" s="68"/>
      <c r="I372" s="34"/>
      <c r="J372" s="34"/>
      <c r="K372" s="34"/>
      <c r="L372" s="46"/>
      <c r="M372" s="45"/>
      <c r="N372" s="45"/>
      <c r="O372" s="1015"/>
      <c r="P372" s="37"/>
    </row>
    <row r="373" spans="1:16" ht="11" customHeight="1">
      <c r="A373" s="1026"/>
      <c r="B373" s="34"/>
      <c r="C373" s="34"/>
      <c r="D373" s="34"/>
      <c r="E373" s="34"/>
      <c r="F373" s="34"/>
      <c r="G373" s="34"/>
      <c r="H373" s="68"/>
      <c r="I373" s="34"/>
      <c r="J373" s="34"/>
      <c r="K373" s="34"/>
      <c r="L373" s="46"/>
      <c r="M373" s="45"/>
      <c r="N373" s="45"/>
      <c r="O373" s="1015"/>
      <c r="P373" s="37"/>
    </row>
    <row r="374" spans="1:16" ht="11" customHeight="1">
      <c r="A374" s="1026"/>
      <c r="B374" s="34"/>
      <c r="C374" s="34"/>
      <c r="D374" s="34"/>
      <c r="E374" s="34"/>
      <c r="F374" s="34"/>
      <c r="G374" s="34"/>
      <c r="H374" s="68"/>
      <c r="I374" s="34"/>
      <c r="J374" s="34"/>
      <c r="K374" s="34"/>
      <c r="L374" s="46"/>
      <c r="M374" s="45"/>
      <c r="N374" s="45"/>
      <c r="O374" s="1015"/>
      <c r="P374" s="37"/>
    </row>
    <row r="375" spans="1:16" ht="11" customHeight="1">
      <c r="A375" s="1026"/>
      <c r="B375" s="34"/>
      <c r="C375" s="34"/>
      <c r="D375" s="34"/>
      <c r="E375" s="34"/>
      <c r="F375" s="34"/>
      <c r="G375" s="34"/>
      <c r="H375" s="68"/>
      <c r="I375" s="34"/>
      <c r="J375" s="34"/>
      <c r="K375" s="34"/>
      <c r="L375" s="46"/>
      <c r="M375" s="45"/>
      <c r="N375" s="45"/>
      <c r="O375" s="1015"/>
      <c r="P375" s="37"/>
    </row>
    <row r="376" spans="1:16" ht="11" customHeight="1">
      <c r="A376" s="1026"/>
      <c r="B376" s="34"/>
      <c r="C376" s="34"/>
      <c r="D376" s="34"/>
      <c r="E376" s="34"/>
      <c r="F376" s="34"/>
      <c r="G376" s="34"/>
      <c r="H376" s="68"/>
      <c r="I376" s="34"/>
      <c r="J376" s="34"/>
      <c r="K376" s="34"/>
      <c r="L376" s="46"/>
      <c r="M376" s="45"/>
      <c r="N376" s="45"/>
      <c r="O376" s="1015"/>
      <c r="P376" s="37"/>
    </row>
    <row r="377" spans="1:16" ht="11" customHeight="1">
      <c r="A377" s="1026"/>
      <c r="B377" s="34"/>
      <c r="C377" s="34"/>
      <c r="D377" s="34"/>
      <c r="E377" s="34"/>
      <c r="F377" s="34"/>
      <c r="G377" s="34"/>
      <c r="H377" s="68"/>
      <c r="I377" s="34"/>
      <c r="J377" s="34"/>
      <c r="K377" s="34"/>
      <c r="L377" s="46"/>
      <c r="M377" s="45"/>
      <c r="N377" s="45"/>
      <c r="O377" s="1015"/>
      <c r="P377" s="37"/>
    </row>
    <row r="378" spans="1:16" ht="11" customHeight="1">
      <c r="A378" s="1026"/>
      <c r="B378" s="34"/>
      <c r="C378" s="34"/>
      <c r="D378" s="34"/>
      <c r="E378" s="34"/>
      <c r="F378" s="34"/>
      <c r="G378" s="34"/>
      <c r="H378" s="68"/>
      <c r="I378" s="34"/>
      <c r="J378" s="34"/>
      <c r="K378" s="34"/>
      <c r="L378" s="46"/>
      <c r="M378" s="45"/>
      <c r="N378" s="45"/>
      <c r="O378" s="1015"/>
      <c r="P378" s="37"/>
    </row>
    <row r="379" spans="1:16" ht="11" customHeight="1">
      <c r="A379" s="1026"/>
      <c r="B379" s="34"/>
      <c r="C379" s="34"/>
      <c r="D379" s="34"/>
      <c r="E379" s="34"/>
      <c r="F379" s="34"/>
      <c r="G379" s="34"/>
      <c r="H379" s="68"/>
      <c r="I379" s="34"/>
      <c r="J379" s="34"/>
      <c r="K379" s="34"/>
      <c r="L379" s="46"/>
      <c r="M379" s="45"/>
      <c r="N379" s="45"/>
      <c r="O379" s="1015"/>
      <c r="P379" s="37"/>
    </row>
    <row r="380" spans="1:16" ht="11" customHeight="1">
      <c r="A380" s="1026"/>
      <c r="B380" s="34"/>
      <c r="C380" s="34"/>
      <c r="D380" s="34"/>
      <c r="E380" s="34"/>
      <c r="F380" s="34"/>
      <c r="G380" s="34"/>
      <c r="H380" s="68"/>
      <c r="I380" s="34"/>
      <c r="J380" s="34"/>
      <c r="K380" s="34"/>
      <c r="L380" s="46"/>
      <c r="M380" s="45"/>
      <c r="N380" s="45"/>
      <c r="O380" s="1015"/>
      <c r="P380" s="37"/>
    </row>
    <row r="381" spans="1:16" ht="11" customHeight="1">
      <c r="A381" s="1026"/>
      <c r="B381" s="34"/>
      <c r="C381" s="34"/>
      <c r="D381" s="34"/>
      <c r="E381" s="34"/>
      <c r="F381" s="34"/>
      <c r="G381" s="34"/>
      <c r="H381" s="68"/>
      <c r="I381" s="34"/>
      <c r="J381" s="34"/>
      <c r="K381" s="34"/>
      <c r="L381" s="46"/>
      <c r="M381" s="45"/>
      <c r="N381" s="45"/>
      <c r="O381" s="1015"/>
      <c r="P381" s="37"/>
    </row>
    <row r="382" spans="1:16" ht="11" customHeight="1">
      <c r="A382" s="1026"/>
      <c r="B382" s="34"/>
      <c r="C382" s="34"/>
      <c r="D382" s="34"/>
      <c r="E382" s="34"/>
      <c r="F382" s="34"/>
      <c r="G382" s="34"/>
      <c r="H382" s="68"/>
      <c r="I382" s="34"/>
      <c r="J382" s="34"/>
      <c r="K382" s="34"/>
      <c r="L382" s="46"/>
      <c r="M382" s="45"/>
      <c r="N382" s="45"/>
      <c r="O382" s="1015"/>
      <c r="P382" s="37"/>
    </row>
    <row r="383" spans="1:16" ht="11" customHeight="1">
      <c r="A383" s="1026"/>
      <c r="B383" s="34"/>
      <c r="C383" s="34"/>
      <c r="D383" s="34"/>
      <c r="E383" s="34"/>
      <c r="F383" s="34"/>
      <c r="G383" s="34"/>
      <c r="H383" s="68"/>
      <c r="I383" s="34"/>
      <c r="J383" s="34"/>
      <c r="K383" s="34"/>
      <c r="L383" s="46"/>
      <c r="O383" s="1015"/>
      <c r="P383" s="37"/>
    </row>
    <row r="384" spans="1:16" ht="11" customHeight="1">
      <c r="A384" s="1026"/>
      <c r="B384" s="34"/>
      <c r="C384" s="736" t="s">
        <v>623</v>
      </c>
      <c r="D384" s="736"/>
      <c r="E384" s="34"/>
      <c r="F384" s="750" t="s">
        <v>624</v>
      </c>
      <c r="G384" s="750"/>
      <c r="H384" s="68"/>
      <c r="I384" s="34"/>
      <c r="J384" s="747" t="s">
        <v>623</v>
      </c>
      <c r="K384" s="747"/>
      <c r="L384" s="46"/>
      <c r="M384" s="722" t="s">
        <v>624</v>
      </c>
      <c r="N384" s="722"/>
      <c r="O384" s="1015"/>
      <c r="P384" s="37"/>
    </row>
    <row r="385" spans="1:16" ht="11" customHeight="1" thickBot="1">
      <c r="A385" s="1026"/>
      <c r="B385" s="1079"/>
      <c r="C385" s="1081"/>
      <c r="D385" s="1081"/>
      <c r="E385" s="1079"/>
      <c r="F385" s="1080"/>
      <c r="G385" s="1080"/>
      <c r="H385" s="1078"/>
      <c r="I385" s="1079"/>
      <c r="J385" s="1077"/>
      <c r="K385" s="1077"/>
      <c r="L385" s="1076"/>
      <c r="M385" s="1075"/>
      <c r="N385" s="1075"/>
      <c r="O385" s="1015"/>
      <c r="P385" s="37"/>
    </row>
    <row r="386" spans="1:16" ht="11" customHeight="1" thickTop="1">
      <c r="A386" s="1026"/>
      <c r="B386" s="1082" t="s">
        <v>784</v>
      </c>
      <c r="C386" s="1082"/>
      <c r="D386" s="1082"/>
      <c r="E386" s="1082"/>
      <c r="F386" s="1082"/>
      <c r="G386" s="1082"/>
      <c r="H386" s="1082"/>
      <c r="I386" s="1082"/>
      <c r="J386" s="1082"/>
      <c r="K386" s="1082"/>
      <c r="L386" s="1082"/>
      <c r="M386" s="1082"/>
      <c r="N386" s="1082"/>
      <c r="O386" s="1015"/>
      <c r="P386" s="37"/>
    </row>
    <row r="387" spans="1:16" ht="11" customHeight="1">
      <c r="A387" s="1026"/>
      <c r="B387" s="1082"/>
      <c r="C387" s="1082"/>
      <c r="D387" s="1082"/>
      <c r="E387" s="1082"/>
      <c r="F387" s="1082"/>
      <c r="G387" s="1082"/>
      <c r="H387" s="1082"/>
      <c r="I387" s="1082"/>
      <c r="J387" s="1082"/>
      <c r="K387" s="1082"/>
      <c r="L387" s="1082"/>
      <c r="M387" s="1082"/>
      <c r="N387" s="1082"/>
      <c r="O387" s="1015"/>
      <c r="P387" s="37"/>
    </row>
    <row r="388" spans="1:16" ht="11" customHeight="1">
      <c r="A388" s="1026"/>
      <c r="B388" s="793">
        <f>(H398-H388)/2</f>
        <v>41.850560153304059</v>
      </c>
      <c r="C388" s="793"/>
      <c r="D388" s="34"/>
      <c r="E388" s="34"/>
      <c r="F388" s="34"/>
      <c r="G388" s="34"/>
      <c r="H388" s="739">
        <f>закулисье!I16</f>
        <v>1885.098734601617</v>
      </c>
      <c r="I388" s="739"/>
      <c r="J388" s="34"/>
      <c r="K388" s="34"/>
      <c r="L388" s="46"/>
      <c r="M388" s="45"/>
      <c r="N388" s="732">
        <f>B388</f>
        <v>41.850560153304059</v>
      </c>
      <c r="O388" s="1015"/>
      <c r="P388" s="37"/>
    </row>
    <row r="389" spans="1:16" ht="11" customHeight="1">
      <c r="A389" s="1026"/>
      <c r="B389" s="793"/>
      <c r="C389" s="793"/>
      <c r="D389" s="34"/>
      <c r="E389" s="34"/>
      <c r="F389" s="34"/>
      <c r="G389" s="34"/>
      <c r="H389" s="739"/>
      <c r="I389" s="739"/>
      <c r="J389" s="34"/>
      <c r="K389" s="34"/>
      <c r="L389" s="46"/>
      <c r="M389" s="45"/>
      <c r="N389" s="732"/>
      <c r="O389" s="1015"/>
      <c r="P389" s="37"/>
    </row>
    <row r="390" spans="1:16" ht="11" customHeight="1">
      <c r="A390" s="1026"/>
      <c r="B390" s="44"/>
      <c r="C390" s="44"/>
      <c r="D390" s="44"/>
      <c r="E390" s="44"/>
      <c r="F390" s="44"/>
      <c r="G390" s="44"/>
      <c r="H390" s="44"/>
      <c r="J390" s="44"/>
      <c r="K390" s="44"/>
      <c r="L390" s="44"/>
      <c r="M390" s="44"/>
      <c r="N390" s="44"/>
      <c r="O390" s="1015"/>
      <c r="P390" s="37"/>
    </row>
    <row r="391" spans="1:16" ht="11" customHeight="1">
      <c r="A391" s="1026"/>
      <c r="B391" s="34"/>
      <c r="C391" s="34"/>
      <c r="D391" s="34"/>
      <c r="E391" s="34"/>
      <c r="F391" s="34"/>
      <c r="G391" s="34"/>
      <c r="H391" s="34"/>
      <c r="I391" s="748">
        <f>закулисье!T19</f>
        <v>200</v>
      </c>
      <c r="J391" s="34"/>
      <c r="K391" s="34"/>
      <c r="L391" s="46"/>
      <c r="M391" s="45"/>
      <c r="N391" s="45"/>
      <c r="O391" s="1015"/>
      <c r="P391" s="37"/>
    </row>
    <row r="392" spans="1:16" ht="11" customHeight="1">
      <c r="A392" s="1026"/>
      <c r="B392" s="34"/>
      <c r="C392" s="34"/>
      <c r="D392" s="34"/>
      <c r="E392" s="34"/>
      <c r="F392" s="34"/>
      <c r="G392" s="34"/>
      <c r="H392" s="34"/>
      <c r="I392" s="748"/>
      <c r="J392" s="34"/>
      <c r="K392" s="34"/>
      <c r="L392" s="46"/>
      <c r="M392" s="45"/>
      <c r="N392" s="45"/>
      <c r="O392" s="1015"/>
      <c r="P392" s="37"/>
    </row>
    <row r="393" spans="1:16" ht="11" customHeight="1">
      <c r="A393" s="1026"/>
      <c r="B393" s="34"/>
      <c r="C393" s="34"/>
      <c r="D393" s="34"/>
      <c r="E393" s="34"/>
      <c r="F393" s="34"/>
      <c r="G393" s="34"/>
      <c r="H393" s="34"/>
      <c r="I393" s="748"/>
      <c r="J393" s="34"/>
      <c r="K393" s="34"/>
      <c r="L393" s="46"/>
      <c r="M393" s="45"/>
      <c r="N393" s="45"/>
      <c r="O393" s="1015"/>
      <c r="P393" s="37"/>
    </row>
    <row r="394" spans="1:16" ht="11" customHeight="1">
      <c r="A394" s="1026"/>
      <c r="B394" s="34"/>
      <c r="C394" s="34"/>
      <c r="D394" s="34"/>
      <c r="E394" s="34"/>
      <c r="F394" s="34"/>
      <c r="G394" s="34"/>
      <c r="H394" s="34"/>
      <c r="I394" s="748"/>
      <c r="J394" s="34"/>
      <c r="K394" s="34"/>
      <c r="L394" s="46"/>
      <c r="M394" s="45"/>
      <c r="N394" s="45"/>
      <c r="O394" s="1015"/>
      <c r="P394" s="37"/>
    </row>
    <row r="395" spans="1:16" ht="11" customHeight="1">
      <c r="A395" s="1026"/>
      <c r="B395" s="34"/>
      <c r="C395" s="34"/>
      <c r="D395" s="34"/>
      <c r="E395" s="34"/>
      <c r="F395" s="34"/>
      <c r="G395" s="34"/>
      <c r="H395" s="34"/>
      <c r="I395" s="748"/>
      <c r="J395" s="34"/>
      <c r="K395" s="34"/>
      <c r="L395" s="46"/>
      <c r="M395" s="45"/>
      <c r="N395" s="45"/>
      <c r="O395" s="1015"/>
      <c r="P395" s="37"/>
    </row>
    <row r="396" spans="1:16" ht="11" customHeight="1">
      <c r="A396" s="1026"/>
      <c r="B396" s="44"/>
      <c r="C396" s="44"/>
      <c r="D396" s="44"/>
      <c r="E396" s="44"/>
      <c r="F396" s="44"/>
      <c r="G396" s="44"/>
      <c r="H396" s="44"/>
      <c r="I396" s="748"/>
      <c r="J396" s="44"/>
      <c r="K396" s="44"/>
      <c r="L396" s="44"/>
      <c r="M396" s="44"/>
      <c r="N396" s="44"/>
      <c r="O396" s="1015"/>
      <c r="P396" s="37"/>
    </row>
    <row r="397" spans="1:16" ht="11" customHeight="1">
      <c r="A397" s="1026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46"/>
      <c r="M397" s="45"/>
      <c r="N397" s="45"/>
      <c r="O397" s="1015"/>
      <c r="P397" s="37"/>
    </row>
    <row r="398" spans="1:16" ht="11" customHeight="1">
      <c r="A398" s="1026"/>
      <c r="B398" s="34"/>
      <c r="C398" s="34"/>
      <c r="D398" s="34"/>
      <c r="E398" s="34"/>
      <c r="F398" s="34"/>
      <c r="G398" s="34"/>
      <c r="H398" s="743">
        <f>закулисье!H16</f>
        <v>1968.7998549082251</v>
      </c>
      <c r="I398" s="743"/>
      <c r="J398" s="34"/>
      <c r="K398" s="34"/>
      <c r="L398" s="46"/>
      <c r="M398" s="45"/>
      <c r="N398" s="45"/>
      <c r="O398" s="1015"/>
      <c r="P398" s="37"/>
    </row>
    <row r="399" spans="1:16" ht="11" customHeight="1">
      <c r="A399" s="1026"/>
      <c r="B399" s="34"/>
      <c r="C399" s="34"/>
      <c r="D399" s="34"/>
      <c r="E399" s="34"/>
      <c r="F399" s="34"/>
      <c r="G399" s="34"/>
      <c r="H399" s="743"/>
      <c r="I399" s="743"/>
      <c r="J399" s="34"/>
      <c r="K399" s="731" t="s">
        <v>625</v>
      </c>
      <c r="L399" s="731"/>
      <c r="M399" s="45"/>
      <c r="N399" s="45"/>
      <c r="O399" s="1015"/>
      <c r="P399" s="37"/>
    </row>
    <row r="400" spans="1:16" ht="11" customHeight="1">
      <c r="A400" s="1026"/>
      <c r="B400" s="34"/>
      <c r="C400" s="34"/>
      <c r="D400" s="34"/>
      <c r="E400" s="34"/>
      <c r="F400" s="34"/>
      <c r="G400" s="34"/>
      <c r="I400" s="34"/>
      <c r="J400" s="34"/>
      <c r="K400" s="731"/>
      <c r="L400" s="731"/>
      <c r="M400" s="45"/>
      <c r="N400" s="45"/>
      <c r="O400" s="1015"/>
      <c r="P400" s="37"/>
    </row>
    <row r="401" spans="1:16" ht="11" customHeight="1">
      <c r="A401" s="1026"/>
      <c r="B401" s="34"/>
      <c r="C401" s="34"/>
      <c r="D401" s="34"/>
      <c r="E401" s="34"/>
      <c r="F401" s="34"/>
      <c r="G401" s="34"/>
      <c r="I401" s="34"/>
      <c r="J401" s="34"/>
      <c r="K401" s="34"/>
      <c r="L401" s="46"/>
      <c r="M401" s="45"/>
      <c r="N401" s="45"/>
      <c r="O401" s="1015"/>
      <c r="P401" s="37"/>
    </row>
    <row r="402" spans="1:16" ht="11" customHeight="1">
      <c r="A402" s="1026"/>
      <c r="B402" s="44"/>
      <c r="C402" s="44"/>
      <c r="D402" s="44"/>
      <c r="E402" s="44"/>
      <c r="F402" s="44"/>
      <c r="G402" s="44"/>
      <c r="I402" s="44"/>
      <c r="J402" s="44"/>
      <c r="K402" s="44"/>
      <c r="L402" s="44"/>
      <c r="M402" s="44"/>
      <c r="N402" s="44"/>
      <c r="O402" s="1017"/>
      <c r="P402" s="37"/>
    </row>
    <row r="403" spans="1:16" ht="11" customHeight="1">
      <c r="A403" s="1026"/>
      <c r="B403" s="34"/>
      <c r="C403" s="34"/>
      <c r="D403" s="34"/>
      <c r="E403" s="34"/>
      <c r="F403" s="34"/>
      <c r="G403" s="34"/>
      <c r="I403" s="34"/>
      <c r="J403" s="34"/>
      <c r="K403" s="34"/>
      <c r="L403" s="46"/>
      <c r="M403" s="45"/>
      <c r="N403" s="45"/>
      <c r="O403" s="1015"/>
      <c r="P403" s="37"/>
    </row>
    <row r="404" spans="1:16" ht="11" customHeight="1">
      <c r="A404" s="1026"/>
      <c r="B404" s="811">
        <f>закулисье!I19</f>
        <v>41.381406999999996</v>
      </c>
      <c r="C404" s="811"/>
      <c r="D404" s="34"/>
      <c r="E404" s="34"/>
      <c r="F404" s="34"/>
      <c r="G404" s="34"/>
      <c r="H404" s="742">
        <f>закулисье!I18</f>
        <v>1925.9758264961215</v>
      </c>
      <c r="I404" s="742"/>
      <c r="J404" s="34"/>
      <c r="K404" s="34"/>
      <c r="L404" s="46"/>
      <c r="M404" s="45"/>
      <c r="N404" s="722">
        <f>закулисье!H19</f>
        <v>43.077231999999995</v>
      </c>
      <c r="O404" s="1015"/>
      <c r="P404" s="37"/>
    </row>
    <row r="405" spans="1:16" ht="11" customHeight="1">
      <c r="A405" s="1026"/>
      <c r="B405" s="811"/>
      <c r="C405" s="811"/>
      <c r="D405" s="34"/>
      <c r="E405" s="34"/>
      <c r="F405" s="34"/>
      <c r="G405" s="34"/>
      <c r="H405" s="742"/>
      <c r="I405" s="742"/>
      <c r="J405" s="34"/>
      <c r="K405" s="34"/>
      <c r="L405" s="46"/>
      <c r="M405" s="45"/>
      <c r="N405" s="722"/>
      <c r="O405" s="1015"/>
      <c r="P405" s="37"/>
    </row>
    <row r="406" spans="1:16" ht="11" customHeight="1">
      <c r="A406" s="1026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46"/>
      <c r="M406" s="45"/>
      <c r="N406" s="45"/>
      <c r="O406" s="1015"/>
      <c r="P406" s="37"/>
    </row>
    <row r="407" spans="1:16" ht="11" customHeight="1">
      <c r="A407" s="1026"/>
      <c r="B407" s="34"/>
      <c r="C407" s="34"/>
      <c r="D407" s="34"/>
      <c r="E407" s="34"/>
      <c r="F407" s="34"/>
      <c r="G407" s="34"/>
      <c r="H407" s="34"/>
      <c r="I407" s="744">
        <f>закулисье!T19</f>
        <v>200</v>
      </c>
      <c r="J407" s="34"/>
      <c r="K407" s="34"/>
      <c r="L407" s="46"/>
      <c r="M407" s="45"/>
      <c r="N407" s="45"/>
      <c r="O407" s="1015"/>
      <c r="P407" s="37"/>
    </row>
    <row r="408" spans="1:16" ht="11" customHeight="1">
      <c r="A408" s="1026"/>
      <c r="B408" s="44"/>
      <c r="C408" s="44"/>
      <c r="D408" s="44"/>
      <c r="E408" s="44"/>
      <c r="F408" s="44"/>
      <c r="G408" s="44"/>
      <c r="H408" s="44"/>
      <c r="I408" s="744"/>
      <c r="J408" s="44"/>
      <c r="K408" s="44"/>
      <c r="L408" s="44"/>
      <c r="M408" s="44"/>
      <c r="N408" s="44"/>
      <c r="O408" s="1015"/>
      <c r="P408" s="37"/>
    </row>
    <row r="409" spans="1:16" ht="11" customHeight="1">
      <c r="A409" s="1026"/>
      <c r="B409" s="34"/>
      <c r="C409" s="34"/>
      <c r="D409" s="34"/>
      <c r="E409" s="34"/>
      <c r="F409" s="34"/>
      <c r="G409" s="34"/>
      <c r="H409" s="34"/>
      <c r="I409" s="744"/>
      <c r="J409" s="34"/>
      <c r="K409" s="34"/>
      <c r="L409" s="46"/>
      <c r="M409" s="45"/>
      <c r="N409" s="45"/>
      <c r="O409" s="1015"/>
      <c r="P409" s="37"/>
    </row>
    <row r="410" spans="1:16" ht="11" customHeight="1">
      <c r="A410" s="1026"/>
      <c r="B410" s="34"/>
      <c r="C410" s="34"/>
      <c r="D410" s="34"/>
      <c r="E410" s="34"/>
      <c r="F410" s="34"/>
      <c r="G410" s="34"/>
      <c r="H410" s="34"/>
      <c r="I410" s="744"/>
      <c r="J410" s="34"/>
      <c r="K410" s="34"/>
      <c r="L410" s="46"/>
      <c r="M410" s="45"/>
      <c r="N410" s="45"/>
      <c r="O410" s="1015"/>
      <c r="P410" s="37"/>
    </row>
    <row r="411" spans="1:16" ht="11" customHeight="1">
      <c r="A411" s="1026"/>
      <c r="B411" s="34"/>
      <c r="C411" s="34"/>
      <c r="D411" s="34"/>
      <c r="E411" s="34"/>
      <c r="F411" s="34"/>
      <c r="G411" s="34"/>
      <c r="H411" s="34"/>
      <c r="I411" s="744"/>
      <c r="J411" s="34"/>
      <c r="K411" s="34"/>
      <c r="L411" s="46"/>
      <c r="M411" s="45"/>
      <c r="N411" s="45"/>
      <c r="O411" s="1015"/>
      <c r="P411" s="37"/>
    </row>
    <row r="412" spans="1:16" ht="11" customHeight="1">
      <c r="A412" s="1026"/>
      <c r="B412" s="34"/>
      <c r="C412" s="34"/>
      <c r="D412" s="34"/>
      <c r="E412" s="34"/>
      <c r="F412" s="34"/>
      <c r="G412" s="34"/>
      <c r="H412" s="34"/>
      <c r="I412" s="744"/>
      <c r="J412" s="34"/>
      <c r="K412" s="34"/>
      <c r="L412" s="46"/>
      <c r="M412" s="45"/>
      <c r="N412" s="45"/>
      <c r="O412" s="1015"/>
      <c r="P412" s="37"/>
    </row>
    <row r="413" spans="1:16" ht="11" customHeight="1">
      <c r="A413" s="1026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46"/>
      <c r="M413" s="45"/>
      <c r="N413" s="45"/>
      <c r="O413" s="1015"/>
      <c r="P413" s="37"/>
    </row>
    <row r="414" spans="1:16" ht="11" customHeight="1">
      <c r="A414" s="1026"/>
      <c r="B414" s="44"/>
      <c r="C414" s="44"/>
      <c r="D414" s="44"/>
      <c r="E414" s="44"/>
      <c r="F414" s="44"/>
      <c r="G414" s="44"/>
      <c r="H414" s="741">
        <f>закулисье!H18</f>
        <v>2011.6641544961215</v>
      </c>
      <c r="I414" s="741"/>
      <c r="J414" s="44"/>
      <c r="K414" s="44"/>
      <c r="L414" s="44"/>
      <c r="M414" s="44"/>
      <c r="N414" s="44"/>
      <c r="O414" s="1015"/>
      <c r="P414" s="37"/>
    </row>
    <row r="415" spans="1:16" ht="11" customHeight="1">
      <c r="A415" s="1026"/>
      <c r="B415" s="34"/>
      <c r="C415" s="34"/>
      <c r="D415" s="34"/>
      <c r="E415" s="34"/>
      <c r="F415" s="34"/>
      <c r="G415" s="34"/>
      <c r="H415" s="741"/>
      <c r="I415" s="741"/>
      <c r="J415" s="34"/>
      <c r="K415" s="731" t="s">
        <v>626</v>
      </c>
      <c r="L415" s="731"/>
      <c r="M415" s="45"/>
      <c r="N415" s="45"/>
      <c r="O415" s="1015"/>
      <c r="P415" s="37"/>
    </row>
    <row r="416" spans="1:16" ht="11" customHeight="1">
      <c r="A416" s="1026"/>
      <c r="B416" s="34"/>
      <c r="C416" s="34"/>
      <c r="D416" s="34"/>
      <c r="E416" s="34"/>
      <c r="F416" s="34"/>
      <c r="G416" s="34"/>
      <c r="H416" s="34"/>
      <c r="I416" s="34"/>
      <c r="J416" s="34"/>
      <c r="K416" s="731"/>
      <c r="L416" s="731"/>
      <c r="M416" s="45"/>
      <c r="N416" s="45"/>
      <c r="O416" s="1015"/>
      <c r="P416" s="37"/>
    </row>
    <row r="417" spans="1:16" ht="11" customHeight="1" thickBot="1">
      <c r="A417" s="1026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46"/>
      <c r="M417" s="45"/>
      <c r="N417" s="45"/>
      <c r="O417" s="1015"/>
      <c r="P417" s="37"/>
    </row>
    <row r="418" spans="1:16" ht="11" customHeight="1" thickTop="1">
      <c r="A418" s="1026"/>
      <c r="B418" s="1084" t="s">
        <v>783</v>
      </c>
      <c r="C418" s="1085"/>
      <c r="D418" s="1085"/>
      <c r="E418" s="1085"/>
      <c r="F418" s="1085"/>
      <c r="G418" s="1085"/>
      <c r="H418" s="1085"/>
      <c r="I418" s="1085"/>
      <c r="J418" s="1085"/>
      <c r="K418" s="1085"/>
      <c r="L418" s="1085"/>
      <c r="M418" s="1085"/>
      <c r="N418" s="1086"/>
      <c r="O418" s="1015"/>
      <c r="P418" s="37"/>
    </row>
    <row r="419" spans="1:16" ht="11" customHeight="1">
      <c r="A419" s="1026"/>
      <c r="B419" s="1087"/>
      <c r="C419" s="1083"/>
      <c r="D419" s="1083"/>
      <c r="E419" s="1083"/>
      <c r="F419" s="1083"/>
      <c r="G419" s="1083"/>
      <c r="H419" s="1083"/>
      <c r="I419" s="1083"/>
      <c r="J419" s="1083"/>
      <c r="K419" s="1083"/>
      <c r="L419" s="1083"/>
      <c r="M419" s="1083"/>
      <c r="N419" s="1088"/>
      <c r="O419" s="1015"/>
      <c r="P419" s="37"/>
    </row>
    <row r="420" spans="1:16" ht="11" customHeight="1">
      <c r="A420" s="1026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015"/>
      <c r="P420" s="37"/>
    </row>
    <row r="421" spans="1:16" ht="11" customHeight="1">
      <c r="A421" s="1026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1015"/>
      <c r="P421" s="37"/>
    </row>
    <row r="422" spans="1:16" ht="11" customHeight="1">
      <c r="A422" s="1026"/>
      <c r="B422" s="40"/>
      <c r="C422" s="40"/>
      <c r="D422" s="40"/>
      <c r="E422" s="40"/>
      <c r="F422" s="40"/>
      <c r="G422" s="40"/>
      <c r="H422" s="739">
        <f>закулисье!H20</f>
        <v>1907.4728590000002</v>
      </c>
      <c r="I422" s="739"/>
      <c r="J422" s="40"/>
      <c r="K422" s="40"/>
      <c r="L422" s="40"/>
      <c r="M422" s="40"/>
      <c r="N422" s="40"/>
      <c r="O422" s="1015"/>
      <c r="P422" s="37"/>
    </row>
    <row r="423" spans="1:16" ht="13" customHeight="1">
      <c r="A423" s="1026"/>
      <c r="B423" s="40"/>
      <c r="C423" s="40"/>
      <c r="D423" s="40"/>
      <c r="E423" s="40"/>
      <c r="F423" s="40"/>
      <c r="G423" s="40"/>
      <c r="H423" s="739"/>
      <c r="I423" s="739"/>
      <c r="J423" s="40"/>
      <c r="K423" s="40"/>
      <c r="L423" s="40"/>
      <c r="M423" s="40"/>
      <c r="N423" s="40"/>
      <c r="O423" s="1015"/>
      <c r="P423" s="37"/>
    </row>
    <row r="424" spans="1:16" ht="13" customHeight="1">
      <c r="A424" s="1026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1015"/>
      <c r="P424" s="37"/>
    </row>
    <row r="425" spans="1:16" ht="13" customHeight="1">
      <c r="A425" s="1026"/>
      <c r="B425" s="40"/>
      <c r="C425" s="40"/>
      <c r="D425" s="40"/>
      <c r="E425" s="40"/>
      <c r="F425" s="40"/>
      <c r="G425" s="40"/>
      <c r="H425" s="740">
        <f>закулисье!T19</f>
        <v>200</v>
      </c>
      <c r="I425" s="740"/>
      <c r="J425" s="40"/>
      <c r="K425" s="40"/>
      <c r="L425" s="40"/>
      <c r="M425" s="40"/>
      <c r="N425" s="40"/>
      <c r="O425" s="1015"/>
      <c r="P425" s="37"/>
    </row>
    <row r="426" spans="1:16" ht="13" customHeight="1">
      <c r="A426" s="1026"/>
      <c r="B426" s="40"/>
      <c r="C426" s="40"/>
      <c r="D426" s="40"/>
      <c r="E426" s="40"/>
      <c r="F426" s="40"/>
      <c r="G426" s="40"/>
      <c r="H426" s="740"/>
      <c r="I426" s="740"/>
      <c r="J426" s="40"/>
      <c r="K426" s="40"/>
      <c r="L426" s="40"/>
      <c r="M426" s="40"/>
      <c r="N426" s="40"/>
      <c r="O426" s="1015"/>
      <c r="P426" s="37"/>
    </row>
    <row r="427" spans="1:16" ht="13" customHeight="1">
      <c r="A427" s="1026"/>
      <c r="B427" s="40"/>
      <c r="C427" s="40"/>
      <c r="D427" s="40"/>
      <c r="E427" s="40"/>
      <c r="F427" s="40"/>
      <c r="G427" s="40"/>
      <c r="H427" s="740"/>
      <c r="I427" s="740"/>
      <c r="J427" s="40"/>
      <c r="K427" s="40"/>
      <c r="L427" s="40"/>
      <c r="M427" s="40"/>
      <c r="N427" s="40"/>
      <c r="O427" s="1015"/>
      <c r="P427" s="37"/>
    </row>
    <row r="428" spans="1:16" ht="13" customHeight="1">
      <c r="A428" s="1026"/>
      <c r="B428" s="40"/>
      <c r="C428" s="40"/>
      <c r="D428" s="40"/>
      <c r="E428" s="40"/>
      <c r="F428" s="40"/>
      <c r="G428" s="40"/>
      <c r="H428" s="740"/>
      <c r="I428" s="740"/>
      <c r="J428" s="40"/>
      <c r="K428" s="40"/>
      <c r="L428" s="40"/>
      <c r="M428" s="40"/>
      <c r="N428" s="40"/>
      <c r="O428" s="1015"/>
      <c r="P428" s="37"/>
    </row>
    <row r="429" spans="1:16" ht="13" customHeight="1">
      <c r="A429" s="1026"/>
      <c r="B429" s="40"/>
      <c r="C429" s="40"/>
      <c r="D429" s="40"/>
      <c r="E429" s="40"/>
      <c r="F429" s="40"/>
      <c r="G429" s="40"/>
      <c r="H429" s="740"/>
      <c r="I429" s="740"/>
      <c r="J429" s="40"/>
      <c r="K429" s="40"/>
      <c r="L429" s="40"/>
      <c r="M429" s="40"/>
      <c r="N429" s="40"/>
      <c r="O429" s="1015"/>
      <c r="P429" s="37"/>
    </row>
    <row r="430" spans="1:16" ht="13" customHeight="1">
      <c r="A430" s="1026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1015"/>
      <c r="P430" s="37"/>
    </row>
    <row r="431" spans="1:16" ht="13" customHeight="1">
      <c r="A431" s="1026"/>
      <c r="B431" s="811">
        <f>N431</f>
        <v>41.202124000000026</v>
      </c>
      <c r="C431" s="811"/>
      <c r="D431" s="40"/>
      <c r="E431" s="40"/>
      <c r="F431" s="40"/>
      <c r="G431" s="40"/>
      <c r="H431" s="739">
        <f>закулисье!I20</f>
        <v>1825.0686110000001</v>
      </c>
      <c r="I431" s="739"/>
      <c r="J431" s="40"/>
      <c r="K431" s="40"/>
      <c r="L431" s="40"/>
      <c r="M431" s="40"/>
      <c r="N431" s="737">
        <f>(H422-H431)/2</f>
        <v>41.202124000000026</v>
      </c>
      <c r="O431" s="1015"/>
      <c r="P431" s="37"/>
    </row>
    <row r="432" spans="1:16" ht="13" customHeight="1">
      <c r="A432" s="1026"/>
      <c r="B432" s="811"/>
      <c r="C432" s="811"/>
      <c r="D432" s="40"/>
      <c r="E432" s="40"/>
      <c r="F432" s="40"/>
      <c r="G432" s="40"/>
      <c r="H432" s="739"/>
      <c r="I432" s="739"/>
      <c r="J432" s="40"/>
      <c r="K432" s="40"/>
      <c r="L432" s="40"/>
      <c r="M432" s="40"/>
      <c r="N432" s="737"/>
      <c r="O432" s="1015"/>
      <c r="P432" s="37"/>
    </row>
    <row r="433" spans="1:16" ht="13" customHeight="1">
      <c r="A433" s="1026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3">
        <f>IF(закулисье!K5=1,закулисье!J20,закулисье!K20)</f>
        <v>55</v>
      </c>
      <c r="M433" s="40" t="s">
        <v>65</v>
      </c>
      <c r="N433" s="40"/>
      <c r="O433" s="1015"/>
      <c r="P433" s="37"/>
    </row>
    <row r="434" spans="1:16" ht="13" customHeight="1">
      <c r="A434" s="1026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1015"/>
      <c r="P434" s="37"/>
    </row>
    <row r="435" spans="1:16" ht="13" customHeight="1">
      <c r="A435" s="1026"/>
      <c r="B435" s="41"/>
      <c r="C435" s="41"/>
      <c r="D435" s="40"/>
      <c r="E435" s="40"/>
      <c r="F435" s="40"/>
      <c r="G435" s="40"/>
      <c r="H435" s="741">
        <f>закулисье!H21</f>
        <v>1951.6855610000011</v>
      </c>
      <c r="I435" s="741"/>
      <c r="J435" s="40"/>
      <c r="K435" s="40"/>
      <c r="L435" s="40"/>
      <c r="M435" s="40"/>
      <c r="N435" s="41"/>
      <c r="O435" s="1015"/>
      <c r="P435" s="37"/>
    </row>
    <row r="436" spans="1:16" ht="13" customHeight="1">
      <c r="A436" s="1026"/>
      <c r="B436" s="41"/>
      <c r="C436" s="41"/>
      <c r="D436" s="40"/>
      <c r="E436" s="40"/>
      <c r="F436" s="40"/>
      <c r="G436" s="40"/>
      <c r="H436" s="741"/>
      <c r="I436" s="741"/>
      <c r="J436" s="40"/>
      <c r="K436" s="40"/>
      <c r="L436" s="40"/>
      <c r="M436" s="40"/>
      <c r="N436" s="41"/>
      <c r="O436" s="1015"/>
      <c r="P436" s="37"/>
    </row>
    <row r="437" spans="1:16" ht="13" customHeight="1">
      <c r="A437" s="1026"/>
      <c r="B437" s="997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1015"/>
      <c r="P437" s="37"/>
    </row>
    <row r="438" spans="1:16" ht="13" customHeight="1">
      <c r="A438" s="1026"/>
      <c r="B438" s="40"/>
      <c r="C438" s="40"/>
      <c r="D438" s="40"/>
      <c r="E438" s="40"/>
      <c r="F438" s="40"/>
      <c r="G438" s="40"/>
      <c r="H438" s="730">
        <f>закулисье!T19</f>
        <v>200</v>
      </c>
      <c r="I438" s="730"/>
      <c r="J438" s="40"/>
      <c r="K438" s="40"/>
      <c r="L438" s="40"/>
      <c r="M438" s="40"/>
      <c r="N438" s="40"/>
      <c r="O438" s="1015"/>
      <c r="P438" s="37"/>
    </row>
    <row r="439" spans="1:16" ht="13" customHeight="1">
      <c r="A439" s="1026"/>
      <c r="B439" s="40"/>
      <c r="C439" s="40"/>
      <c r="D439" s="40"/>
      <c r="E439" s="40"/>
      <c r="F439" s="40"/>
      <c r="G439" s="40"/>
      <c r="H439" s="730"/>
      <c r="I439" s="730"/>
      <c r="J439" s="40"/>
      <c r="K439" s="40"/>
      <c r="L439" s="40"/>
      <c r="M439" s="40"/>
      <c r="N439" s="40"/>
      <c r="O439" s="1015"/>
      <c r="P439" s="31"/>
    </row>
    <row r="440" spans="1:16" ht="13" customHeight="1">
      <c r="A440" s="1026"/>
      <c r="B440" s="40"/>
      <c r="C440" s="40"/>
      <c r="D440" s="40"/>
      <c r="E440" s="40"/>
      <c r="F440" s="40"/>
      <c r="G440" s="40"/>
      <c r="H440" s="730"/>
      <c r="I440" s="730"/>
      <c r="J440" s="40"/>
      <c r="K440" s="40"/>
      <c r="L440" s="40"/>
      <c r="M440" s="40"/>
      <c r="N440" s="40"/>
      <c r="O440" s="1015"/>
      <c r="P440" s="31"/>
    </row>
    <row r="441" spans="1:16" ht="13" customHeight="1">
      <c r="A441" s="1026"/>
      <c r="B441" s="40"/>
      <c r="C441" s="40"/>
      <c r="D441" s="40"/>
      <c r="E441" s="40"/>
      <c r="F441" s="40"/>
      <c r="G441" s="40"/>
      <c r="H441" s="730"/>
      <c r="I441" s="730"/>
      <c r="J441" s="40"/>
      <c r="K441" s="40"/>
      <c r="L441" s="40"/>
      <c r="M441" s="40"/>
      <c r="N441" s="40"/>
      <c r="O441" s="1015"/>
      <c r="P441" s="31"/>
    </row>
    <row r="442" spans="1:16" ht="13" customHeight="1">
      <c r="A442" s="1026"/>
      <c r="B442" s="40"/>
      <c r="C442" s="40"/>
      <c r="D442" s="40"/>
      <c r="E442" s="40"/>
      <c r="F442" s="40"/>
      <c r="G442" s="40"/>
      <c r="H442" s="730"/>
      <c r="I442" s="730"/>
      <c r="J442" s="40"/>
      <c r="K442" s="40"/>
      <c r="L442" s="40"/>
      <c r="M442" s="40"/>
      <c r="N442" s="40"/>
      <c r="O442" s="1015"/>
      <c r="P442" s="31"/>
    </row>
    <row r="443" spans="1:16" ht="13" customHeight="1">
      <c r="A443" s="1026"/>
      <c r="B443" s="812">
        <f>N443</f>
        <v>42.146915500000091</v>
      </c>
      <c r="C443" s="812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732">
        <f>(H435-H444)/2</f>
        <v>42.146915500000091</v>
      </c>
      <c r="O443" s="1015"/>
      <c r="P443" s="31"/>
    </row>
    <row r="444" spans="1:16" ht="13" customHeight="1">
      <c r="A444" s="1026"/>
      <c r="B444" s="812"/>
      <c r="C444" s="812"/>
      <c r="D444" s="40"/>
      <c r="E444" s="40"/>
      <c r="F444" s="40"/>
      <c r="G444" s="40"/>
      <c r="H444" s="749">
        <f>закулисье!I21</f>
        <v>1867.391730000001</v>
      </c>
      <c r="I444" s="749"/>
      <c r="J444" s="40"/>
      <c r="K444" s="40"/>
      <c r="L444" s="40"/>
      <c r="M444" s="40"/>
      <c r="N444" s="732"/>
      <c r="O444" s="1015"/>
      <c r="P444" s="31"/>
    </row>
    <row r="445" spans="1:16" ht="13" customHeight="1">
      <c r="A445" s="1026"/>
      <c r="B445" s="40"/>
      <c r="C445" s="40"/>
      <c r="D445" s="40"/>
      <c r="E445" s="40"/>
      <c r="F445" s="40"/>
      <c r="G445" s="40"/>
      <c r="H445" s="749"/>
      <c r="I445" s="749"/>
      <c r="J445" s="40"/>
      <c r="K445" s="40"/>
      <c r="L445" s="40"/>
      <c r="M445" s="40"/>
      <c r="N445" s="40"/>
      <c r="O445" s="1015"/>
      <c r="P445" s="31"/>
    </row>
    <row r="446" spans="1:16" ht="13" customHeight="1">
      <c r="A446" s="1026"/>
      <c r="B446" s="40"/>
      <c r="C446" s="40"/>
      <c r="D446" s="40"/>
      <c r="E446" s="40"/>
      <c r="F446" s="40"/>
      <c r="G446" s="40"/>
      <c r="H446" s="41"/>
      <c r="I446" s="41"/>
      <c r="J446" s="40"/>
      <c r="K446" s="40"/>
      <c r="L446" s="43">
        <f>IF(закулисье!K5=1,закулисье!J21,закулисье!K21)</f>
        <v>80</v>
      </c>
      <c r="M446" s="43" t="s">
        <v>65</v>
      </c>
      <c r="N446" s="40"/>
      <c r="O446" s="1015"/>
      <c r="P446" s="31"/>
    </row>
    <row r="447" spans="1:16" ht="13" customHeight="1">
      <c r="A447" s="1026"/>
      <c r="B447" s="40"/>
      <c r="C447" s="40"/>
      <c r="D447" s="40"/>
      <c r="E447" s="40"/>
      <c r="F447" s="40"/>
      <c r="G447" s="40"/>
      <c r="H447" s="41"/>
      <c r="I447" s="41"/>
      <c r="L447" s="40"/>
      <c r="M447" s="40"/>
      <c r="N447" s="40"/>
      <c r="O447" s="1015"/>
      <c r="P447" s="31"/>
    </row>
    <row r="448" spans="1:16" ht="13" customHeight="1">
      <c r="A448" s="1026"/>
      <c r="B448" s="40"/>
      <c r="C448" s="40"/>
      <c r="D448" s="40"/>
      <c r="E448" s="40"/>
      <c r="F448" s="40"/>
      <c r="G448" s="40"/>
      <c r="L448" s="40"/>
      <c r="M448" s="40"/>
      <c r="N448" s="40"/>
      <c r="O448" s="1015"/>
      <c r="P448" s="31"/>
    </row>
    <row r="449" spans="1:16" ht="13" customHeight="1">
      <c r="A449" s="1026"/>
      <c r="B449" s="40"/>
      <c r="C449" s="40"/>
      <c r="D449" s="40"/>
      <c r="E449" s="40"/>
      <c r="F449" s="40"/>
      <c r="G449" s="40"/>
      <c r="H449" s="741">
        <f>закулисье!H22</f>
        <v>1633.3982690000005</v>
      </c>
      <c r="I449" s="741"/>
      <c r="L449" s="40"/>
      <c r="M449" s="40"/>
      <c r="N449" s="40"/>
      <c r="O449" s="1015"/>
      <c r="P449" s="31"/>
    </row>
    <row r="450" spans="1:16" ht="13" customHeight="1">
      <c r="A450" s="1026"/>
      <c r="B450" s="40"/>
      <c r="C450" s="40"/>
      <c r="D450" s="40"/>
      <c r="E450" s="40"/>
      <c r="F450" s="40"/>
      <c r="G450" s="40"/>
      <c r="H450" s="741"/>
      <c r="I450" s="741"/>
      <c r="L450" s="40"/>
      <c r="M450" s="40"/>
      <c r="N450" s="40"/>
      <c r="O450" s="1015"/>
      <c r="P450" s="31"/>
    </row>
    <row r="451" spans="1:16" ht="13" customHeight="1">
      <c r="A451" s="1026"/>
      <c r="B451" s="40"/>
      <c r="C451" s="40"/>
      <c r="D451" s="40"/>
      <c r="E451" s="40"/>
      <c r="F451" s="40"/>
      <c r="G451" s="40"/>
      <c r="I451" s="70"/>
      <c r="J451" s="40"/>
      <c r="K451" s="40"/>
      <c r="L451" s="40"/>
      <c r="M451" s="40"/>
      <c r="N451" s="40"/>
      <c r="O451" s="1015"/>
      <c r="P451" s="31"/>
    </row>
    <row r="452" spans="1:16" ht="13" customHeight="1">
      <c r="A452" s="1026"/>
      <c r="B452" s="40"/>
      <c r="C452" s="40"/>
      <c r="D452" s="40"/>
      <c r="E452" s="40"/>
      <c r="F452" s="40"/>
      <c r="G452" s="40"/>
      <c r="H452" s="794">
        <f>закулисье!T19</f>
        <v>200</v>
      </c>
      <c r="I452" s="794"/>
      <c r="J452" s="40"/>
      <c r="K452" s="40"/>
      <c r="L452" s="40"/>
      <c r="M452" s="40"/>
      <c r="N452" s="40"/>
      <c r="O452" s="1015"/>
      <c r="P452" s="31"/>
    </row>
    <row r="453" spans="1:16" ht="13" customHeight="1">
      <c r="A453" s="1026"/>
      <c r="B453" s="40"/>
      <c r="C453" s="40"/>
      <c r="D453" s="40"/>
      <c r="E453" s="40"/>
      <c r="F453" s="40"/>
      <c r="G453" s="40"/>
      <c r="H453" s="794"/>
      <c r="I453" s="794"/>
      <c r="J453" s="40"/>
      <c r="K453" s="40"/>
      <c r="L453" s="40"/>
      <c r="M453" s="40"/>
      <c r="N453" s="40"/>
      <c r="O453" s="1015"/>
      <c r="P453" s="31"/>
    </row>
    <row r="454" spans="1:16" ht="13" customHeight="1">
      <c r="A454" s="1026"/>
      <c r="B454" s="40"/>
      <c r="C454" s="40"/>
      <c r="D454" s="40"/>
      <c r="E454" s="40"/>
      <c r="F454" s="40"/>
      <c r="G454" s="40"/>
      <c r="H454" s="794"/>
      <c r="I454" s="794"/>
      <c r="J454" s="40"/>
      <c r="K454" s="40"/>
      <c r="L454" s="40"/>
      <c r="M454" s="40"/>
      <c r="N454" s="40"/>
      <c r="O454" s="1015"/>
      <c r="P454" s="31"/>
    </row>
    <row r="455" spans="1:16" ht="13" customHeight="1">
      <c r="A455" s="1026"/>
      <c r="B455" s="40"/>
      <c r="C455" s="40"/>
      <c r="D455" s="40"/>
      <c r="E455" s="40"/>
      <c r="F455" s="40"/>
      <c r="G455" s="40"/>
      <c r="H455" s="794"/>
      <c r="I455" s="794"/>
      <c r="J455" s="40"/>
      <c r="K455" s="40"/>
      <c r="L455" s="40"/>
      <c r="M455" s="40"/>
      <c r="N455" s="40"/>
      <c r="O455" s="1015"/>
      <c r="P455" s="31"/>
    </row>
    <row r="456" spans="1:16" ht="13" customHeight="1">
      <c r="A456" s="1026"/>
      <c r="B456" s="40"/>
      <c r="C456" s="40"/>
      <c r="D456" s="40"/>
      <c r="E456" s="40"/>
      <c r="F456" s="40"/>
      <c r="G456" s="40"/>
      <c r="H456" s="794"/>
      <c r="I456" s="794"/>
      <c r="J456" s="40"/>
      <c r="K456" s="40"/>
      <c r="L456" s="40"/>
      <c r="M456" s="40"/>
      <c r="N456" s="40"/>
      <c r="O456" s="1015"/>
      <c r="P456" s="31"/>
    </row>
    <row r="457" spans="1:16" ht="13" customHeight="1">
      <c r="A457" s="1026"/>
      <c r="B457" s="40"/>
      <c r="C457" s="724">
        <f>(H449-H457)/2</f>
        <v>35.403495000000021</v>
      </c>
      <c r="D457" s="724"/>
      <c r="E457" s="40"/>
      <c r="F457" s="40"/>
      <c r="G457" s="40"/>
      <c r="H457" s="741">
        <f>закулисье!I22</f>
        <v>1562.5912790000004</v>
      </c>
      <c r="I457" s="741"/>
      <c r="J457" s="40"/>
      <c r="K457" s="40"/>
      <c r="L457" s="40"/>
      <c r="M457" s="732">
        <f>C457</f>
        <v>35.403495000000021</v>
      </c>
      <c r="N457" s="732"/>
      <c r="O457" s="1015"/>
      <c r="P457" s="31"/>
    </row>
    <row r="458" spans="1:16" ht="13" customHeight="1">
      <c r="A458" s="1026"/>
      <c r="B458" s="40"/>
      <c r="C458" s="724"/>
      <c r="D458" s="724"/>
      <c r="E458" s="40"/>
      <c r="F458" s="40"/>
      <c r="G458" s="40"/>
      <c r="H458" s="741"/>
      <c r="I458" s="741"/>
      <c r="J458" s="40"/>
      <c r="K458" s="40"/>
      <c r="L458" s="40"/>
      <c r="M458" s="732"/>
      <c r="N458" s="732"/>
      <c r="O458" s="1015"/>
      <c r="P458" s="31"/>
    </row>
    <row r="459" spans="1:16" ht="13" customHeight="1">
      <c r="A459" s="1026"/>
      <c r="B459" s="34"/>
      <c r="C459" s="34"/>
      <c r="D459" s="34"/>
      <c r="E459" s="34"/>
      <c r="F459" s="34"/>
      <c r="G459" s="34"/>
      <c r="J459" s="34"/>
      <c r="K459" s="34"/>
      <c r="L459" s="34"/>
      <c r="M459" s="34"/>
      <c r="N459" s="34"/>
      <c r="O459" s="1015"/>
      <c r="P459" s="31"/>
    </row>
    <row r="460" spans="1:16" ht="13" customHeight="1" thickBot="1">
      <c r="A460" s="1026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43">
        <f>IF(закулисье!K5=1,закулисье!J22,закулисье!K22)</f>
        <v>30</v>
      </c>
      <c r="M460" s="43" t="s">
        <v>65</v>
      </c>
      <c r="N460" s="34"/>
      <c r="O460" s="1015"/>
      <c r="P460" s="31"/>
    </row>
    <row r="461" spans="1:16" s="107" customFormat="1" ht="13" customHeight="1" thickTop="1">
      <c r="A461" s="1026"/>
      <c r="B461" s="1091" t="s">
        <v>832</v>
      </c>
      <c r="C461" s="1092"/>
      <c r="D461" s="1092"/>
      <c r="E461" s="1092"/>
      <c r="F461" s="1092"/>
      <c r="G461" s="1092"/>
      <c r="H461" s="1092"/>
      <c r="I461" s="1092"/>
      <c r="J461" s="1092"/>
      <c r="K461" s="1092"/>
      <c r="L461" s="1092"/>
      <c r="M461" s="1092"/>
      <c r="N461" s="1093"/>
      <c r="O461" s="1015"/>
      <c r="P461" s="31"/>
    </row>
    <row r="462" spans="1:16" s="107" customFormat="1" ht="13" customHeight="1">
      <c r="A462" s="1026"/>
      <c r="B462" s="1094"/>
      <c r="C462" s="1090"/>
      <c r="D462" s="1090"/>
      <c r="E462" s="1090"/>
      <c r="F462" s="1090"/>
      <c r="G462" s="1090"/>
      <c r="H462" s="1090"/>
      <c r="I462" s="1090"/>
      <c r="J462" s="1090"/>
      <c r="K462" s="1090"/>
      <c r="L462" s="1090"/>
      <c r="M462" s="1090"/>
      <c r="N462" s="1095"/>
      <c r="O462" s="1015"/>
      <c r="P462" s="31"/>
    </row>
    <row r="463" spans="1:16" ht="13" customHeight="1">
      <c r="A463" s="1027" t="str">
        <f>HYPERLINK("[Proekt-kalkulyator dlya 3 chastotyi kristallicheskogo kupola.xlsx]F1133","В КОНЕЦ")</f>
        <v>В КОНЕЦ</v>
      </c>
      <c r="B463" s="640" t="s">
        <v>673</v>
      </c>
      <c r="C463" s="641"/>
      <c r="D463" s="140" t="s">
        <v>633</v>
      </c>
      <c r="E463" s="141" t="s">
        <v>674</v>
      </c>
      <c r="F463" s="141" t="s">
        <v>635</v>
      </c>
      <c r="G463" s="142" t="s">
        <v>675</v>
      </c>
      <c r="H463" s="143" t="s">
        <v>637</v>
      </c>
      <c r="I463" s="142" t="str">
        <f>Болтогайкокалькулятор!H11</f>
        <v>Кол-во, шт</v>
      </c>
      <c r="J463" s="144" t="str">
        <f>Болтогайкокалькулятор!I11</f>
        <v>Вес, кг</v>
      </c>
      <c r="K463" s="142" t="s">
        <v>677</v>
      </c>
      <c r="L463" s="728" t="s">
        <v>678</v>
      </c>
      <c r="M463" s="729"/>
      <c r="N463" s="729"/>
      <c r="O463" s="1015"/>
      <c r="P463" s="31"/>
    </row>
    <row r="464" spans="1:16" ht="13" customHeight="1">
      <c r="A464" s="1028"/>
      <c r="B464" s="734" t="str">
        <f>Болтогайкокалькулятор!B12</f>
        <v>Болт</v>
      </c>
      <c r="C464" s="734"/>
      <c r="D464" s="57" t="str">
        <f>Болтогайкокалькулятор!C12</f>
        <v>ГОСТ 7805, 7798</v>
      </c>
      <c r="E464" s="58">
        <f>Болтогайкокалькулятор!D12</f>
        <v>12</v>
      </c>
      <c r="F464" s="58">
        <f>Болтогайкокалькулятор!E12</f>
        <v>150</v>
      </c>
      <c r="G464" s="58" t="str">
        <f>Болтогайкокалькулятор!F12</f>
        <v>Оцинкованный</v>
      </c>
      <c r="H464" s="59" t="str">
        <f>Болтогайкокалькулятор!G12</f>
        <v>5.8</v>
      </c>
      <c r="I464" s="59">
        <f>Болтогайкокалькулятор!H12</f>
        <v>345</v>
      </c>
      <c r="J464" s="58">
        <f>Болтогайкокалькулятор!I12</f>
        <v>50.887499999999996</v>
      </c>
      <c r="K464" s="453">
        <v>140</v>
      </c>
      <c r="L464" s="139">
        <f>Болтогайкокалькулятор!K12</f>
        <v>7124.2499999999991</v>
      </c>
      <c r="M464" s="120" t="str">
        <f>$B$103</f>
        <v>руб</v>
      </c>
      <c r="N464" s="56"/>
      <c r="O464" s="1015"/>
      <c r="P464" s="31"/>
    </row>
    <row r="465" spans="1:16" ht="13" customHeight="1">
      <c r="A465" s="1029" t="str">
        <f>HYPERLINK("[Proekt-kalkulyator dlya 3 chastotyi kristallicheskogo kupola.xlsx]G475","КАРКАСЫ")</f>
        <v>КАРКАСЫ</v>
      </c>
      <c r="B465" s="723" t="str">
        <f>Болтогайкокалькулятор!B13</f>
        <v>Болт</v>
      </c>
      <c r="C465" s="723"/>
      <c r="D465" s="57" t="str">
        <f>Болтогайкокалькулятор!C13</f>
        <v>ГОСТ 7805, 7798</v>
      </c>
      <c r="E465" s="58">
        <f>Болтогайкокалькулятор!D13</f>
        <v>12</v>
      </c>
      <c r="F465" s="58">
        <f>Болтогайкокалькулятор!E13</f>
        <v>70</v>
      </c>
      <c r="G465" s="58" t="str">
        <f>Болтогайкокалькулятор!F13</f>
        <v>Оцинкованный</v>
      </c>
      <c r="H465" s="59">
        <f>Болтогайкокалькулятор!G13</f>
        <v>5.8</v>
      </c>
      <c r="I465" s="59">
        <f>Болтогайкокалькулятор!H13</f>
        <v>1380</v>
      </c>
      <c r="J465" s="58">
        <f>Болтогайкокалькулятор!I13</f>
        <v>105.48719999999999</v>
      </c>
      <c r="K465" s="137">
        <f>Болтогайкокалькулятор!J13</f>
        <v>140</v>
      </c>
      <c r="L465" s="136">
        <f>Болтогайкокалькулятор!K13</f>
        <v>14768.207999999999</v>
      </c>
      <c r="M465" s="120" t="str">
        <f>$B$103</f>
        <v>руб</v>
      </c>
      <c r="N465" s="60"/>
      <c r="O465" s="1015"/>
      <c r="P465" s="31"/>
    </row>
    <row r="466" spans="1:16" ht="13" customHeight="1">
      <c r="A466" s="1030"/>
      <c r="B466" s="723" t="str">
        <f>Болтогайкокалькулятор!B14</f>
        <v>Гайка</v>
      </c>
      <c r="C466" s="723"/>
      <c r="D466" s="57" t="str">
        <f>Болтогайкокалькулятор!C14</f>
        <v>DIN 934</v>
      </c>
      <c r="E466" s="58">
        <f>Болтогайкокалькулятор!D14</f>
        <v>12</v>
      </c>
      <c r="F466" s="58"/>
      <c r="G466" s="58" t="str">
        <f>Болтогайкокалькулятор!F14</f>
        <v>Оцинкованный</v>
      </c>
      <c r="H466" s="59">
        <f>Болтогайкокалькулятор!G14</f>
        <v>6</v>
      </c>
      <c r="I466" s="59">
        <f>Болтогайкокалькулятор!H14</f>
        <v>1725</v>
      </c>
      <c r="J466" s="58">
        <f>Болтогайкокалькулятор!I14</f>
        <v>29.842499999999998</v>
      </c>
      <c r="K466" s="138">
        <f>Болтогайкокалькулятор!J14</f>
        <v>140</v>
      </c>
      <c r="L466" s="136">
        <f>Болтогайкокалькулятор!K14</f>
        <v>4177.95</v>
      </c>
      <c r="M466" s="120" t="str">
        <f>$B$103</f>
        <v>руб</v>
      </c>
      <c r="N466" s="60"/>
      <c r="O466" s="1015"/>
      <c r="P466" s="31"/>
    </row>
    <row r="467" spans="1:16" ht="13" customHeight="1">
      <c r="A467" s="1027" t="str">
        <f>HYPERLINK("[Proekt-kalkulyator dlya 3 chastotyi kristallicheskogo kupola.xlsx]K505","наполнение")</f>
        <v>наполнение</v>
      </c>
      <c r="B467" s="723" t="str">
        <f>Болтогайкокалькулятор!B15</f>
        <v>Шайба</v>
      </c>
      <c r="C467" s="723"/>
      <c r="D467" s="57" t="str">
        <f>Болтогайкокалькулятор!C15</f>
        <v>ГОСТ 11371, DIN 125 обычая</v>
      </c>
      <c r="E467" s="58">
        <f>Болтогайкокалькулятор!D15</f>
        <v>12</v>
      </c>
      <c r="F467" s="58"/>
      <c r="G467" s="58" t="str">
        <f>Болтогайкокалькулятор!F15</f>
        <v>Оцинкованный</v>
      </c>
      <c r="H467" s="59">
        <f>Болтогайкокалькулятор!G15</f>
        <v>0</v>
      </c>
      <c r="I467" s="59">
        <f>Болтогайкокалькулятор!H15</f>
        <v>1725</v>
      </c>
      <c r="J467" s="58">
        <f>Болтогайкокалькулятор!I15</f>
        <v>11.505750000000001</v>
      </c>
      <c r="K467" s="454">
        <v>125</v>
      </c>
      <c r="L467" s="136">
        <f>Болтогайкокалькулятор!K15</f>
        <v>1438.21875</v>
      </c>
      <c r="M467" s="120" t="str">
        <f>$B$103</f>
        <v>руб</v>
      </c>
      <c r="N467" s="60"/>
      <c r="O467" s="1015"/>
      <c r="P467" s="31"/>
    </row>
    <row r="468" spans="1:16" ht="13" customHeight="1">
      <c r="A468" s="1028"/>
      <c r="B468" s="733" t="s">
        <v>679</v>
      </c>
      <c r="C468" s="733"/>
      <c r="D468" s="733"/>
      <c r="E468" s="733"/>
      <c r="F468" s="47"/>
      <c r="G468" s="47"/>
      <c r="H468" s="47"/>
      <c r="I468" s="47"/>
      <c r="J468" s="47"/>
      <c r="K468" s="61"/>
      <c r="L468" s="148">
        <f>Болтогайкокалькулятор!K16</f>
        <v>27508.626749999999</v>
      </c>
      <c r="M468" s="146" t="str">
        <f>$B$103</f>
        <v>руб</v>
      </c>
      <c r="N468" s="47"/>
      <c r="O468" s="1015"/>
      <c r="P468" s="31"/>
    </row>
    <row r="469" spans="1:16" ht="13" customHeight="1">
      <c r="A469" s="1029" t="str">
        <f>HYPERLINK("[Proekt-kalkulyator dlya 3 chastotyi kristallicheskogo kupola.xlsx]K745","ОБОЛОЧКА")</f>
        <v>ОБОЛОЧКА</v>
      </c>
      <c r="B469" s="47"/>
      <c r="C469" s="4"/>
      <c r="D469" s="4"/>
      <c r="E469" s="4"/>
      <c r="F469" s="4"/>
      <c r="G469" s="4"/>
      <c r="H469" s="47"/>
      <c r="I469" s="47"/>
      <c r="J469" s="47"/>
      <c r="K469" s="47"/>
      <c r="L469" s="47"/>
      <c r="M469" s="104"/>
      <c r="N469" s="47"/>
      <c r="O469" s="1015"/>
      <c r="P469" s="31"/>
    </row>
    <row r="470" spans="1:16" ht="13" customHeight="1">
      <c r="A470" s="1030"/>
      <c r="B470" s="640" t="s">
        <v>671</v>
      </c>
      <c r="C470" s="640"/>
      <c r="D470" s="641"/>
      <c r="E470" s="639" t="s">
        <v>672</v>
      </c>
      <c r="F470" s="641"/>
      <c r="G470" s="639" t="s">
        <v>680</v>
      </c>
      <c r="H470" s="641"/>
      <c r="I470" s="639" t="s">
        <v>681</v>
      </c>
      <c r="J470" s="641"/>
      <c r="K470" s="47"/>
      <c r="L470" s="47"/>
      <c r="M470" s="47"/>
      <c r="N470" s="47"/>
      <c r="O470" s="1015"/>
      <c r="P470" s="31"/>
    </row>
    <row r="471" spans="1:16" ht="13" customHeight="1">
      <c r="A471" s="1031" t="str">
        <f>HYPERLINK("[Proekt-kalkulyator dlya 3 chastotyi kristallicheskogo kupola.xlsx]J942","ФуНДАМЕНТ")</f>
        <v>ФуНДАМЕНТ</v>
      </c>
      <c r="B471" s="637" t="s">
        <v>829</v>
      </c>
      <c r="C471" s="637"/>
      <c r="D471" s="638"/>
      <c r="E471" s="134">
        <f>IF(закулисье!$K$4=1,закулисье!L23,закулисье!M23)</f>
        <v>3.7681973716505972</v>
      </c>
      <c r="F471" s="103" t="s">
        <v>72</v>
      </c>
      <c r="G471" s="64">
        <v>8000</v>
      </c>
      <c r="H471" s="63" t="str">
        <f>$B$103&amp;"/м.куб."</f>
        <v>руб/м.куб.</v>
      </c>
      <c r="I471" s="62">
        <f>G471*E471</f>
        <v>30145.578973204778</v>
      </c>
      <c r="J471" s="63" t="str">
        <f>$B$103</f>
        <v>руб</v>
      </c>
      <c r="K471" s="4"/>
      <c r="L471" s="4"/>
      <c r="M471" s="4"/>
      <c r="N471" s="4"/>
      <c r="O471" s="1015"/>
      <c r="P471" s="31"/>
    </row>
    <row r="472" spans="1:16" ht="13" customHeight="1">
      <c r="A472" s="1032"/>
      <c r="B472" s="65"/>
      <c r="C472" s="65"/>
      <c r="D472" s="66"/>
      <c r="E472" s="48"/>
      <c r="F472" s="103"/>
      <c r="G472" s="122"/>
      <c r="H472" s="67"/>
      <c r="I472" s="50"/>
      <c r="J472" s="67"/>
      <c r="K472" s="4"/>
      <c r="L472" s="4"/>
      <c r="M472" s="4"/>
      <c r="N472" s="4"/>
      <c r="O472" s="1015"/>
      <c r="P472" s="31"/>
    </row>
    <row r="473" spans="1:16" ht="13" customHeight="1">
      <c r="A473" s="1029" t="str">
        <f>HYPERLINK("[Proekt-kalkulyator dlya 3 chastotyi kristallicheskogo kupola.xlsx]K995","перекрытие п.")</f>
        <v>перекрытие п.</v>
      </c>
      <c r="B473" s="637" t="s">
        <v>627</v>
      </c>
      <c r="C473" s="637"/>
      <c r="D473" s="638"/>
      <c r="E473" s="49">
        <f>IF(закулисье!$K$4=1,закулисье!J23,закулисье!K23)</f>
        <v>195</v>
      </c>
      <c r="F473" s="135" t="s">
        <v>65</v>
      </c>
      <c r="G473" s="133"/>
      <c r="H473" s="105"/>
      <c r="I473" s="132"/>
      <c r="J473" s="63"/>
      <c r="K473" s="4"/>
      <c r="N473" s="4"/>
      <c r="O473" s="1015"/>
      <c r="P473" s="31"/>
    </row>
    <row r="474" spans="1:16" ht="13" customHeight="1">
      <c r="A474" s="1030"/>
      <c r="B474" s="637" t="s">
        <v>628</v>
      </c>
      <c r="C474" s="637"/>
      <c r="D474" s="638"/>
      <c r="E474" s="49">
        <f>IF(закулисье!$K$4=1,закулисье!E48,закулисье!G48)</f>
        <v>61</v>
      </c>
      <c r="F474" s="103" t="s">
        <v>65</v>
      </c>
      <c r="G474" s="64">
        <v>0</v>
      </c>
      <c r="H474" s="105" t="str">
        <f>$B$103&amp;"/м.куб."</f>
        <v>руб/м.куб.</v>
      </c>
      <c r="I474" s="132">
        <f>G474*E474</f>
        <v>0</v>
      </c>
      <c r="J474" s="63" t="str">
        <f>$B$103</f>
        <v>руб</v>
      </c>
      <c r="K474" s="4"/>
      <c r="N474" s="4"/>
      <c r="O474" s="1015"/>
      <c r="P474" s="31"/>
    </row>
    <row r="475" spans="1:16" ht="13" customHeight="1">
      <c r="A475" s="1029" t="str">
        <f>HYPERLINK("[Proekt-kalkulyator dlya 3 chastotyi kristallicheskogo kupola.xlsx]K1114","перекрытие в.")</f>
        <v>перекрытие в.</v>
      </c>
      <c r="B475" s="637" t="s">
        <v>629</v>
      </c>
      <c r="C475" s="637"/>
      <c r="D475" s="638"/>
      <c r="E475" s="53">
        <f>IF(закулисье!P3&gt;2,IF(закулисье!$K$4=1,закулисье!E45,закулисье!G45),IF(закулисье!$K$4=1,закулисье!E46,закулисье!G46))</f>
        <v>690</v>
      </c>
      <c r="F475" s="54" t="s">
        <v>65</v>
      </c>
      <c r="G475" s="64">
        <v>0</v>
      </c>
      <c r="H475" s="105" t="str">
        <f>$B$103&amp;"/м.куб."</f>
        <v>руб/м.куб.</v>
      </c>
      <c r="I475" s="132">
        <f>G475*E475</f>
        <v>0</v>
      </c>
      <c r="J475" s="63" t="str">
        <f>$B$103</f>
        <v>руб</v>
      </c>
      <c r="K475" s="4"/>
      <c r="N475" s="4"/>
      <c r="O475" s="1015"/>
      <c r="P475" s="31"/>
    </row>
    <row r="476" spans="1:16" ht="13" customHeight="1">
      <c r="A476" s="1030"/>
      <c r="B476" s="726" t="str">
        <f>IF(закулисье!P3=3,"Количество малых скоб",IF(закулисье!P3=2,"Количество проставок","Ничего себе! Всё людям!"))</f>
        <v>Ничего себе! Всё людям!</v>
      </c>
      <c r="C476" s="726"/>
      <c r="D476" s="727"/>
      <c r="E476" s="55">
        <f>IF(закулисье!P3=3,Заявка!E475,IF(закулисье!P3=2,IF(закулисье!$K$4=1,закулисье!E47,закулисье!G47),0))</f>
        <v>0</v>
      </c>
      <c r="F476" s="102" t="s">
        <v>65</v>
      </c>
      <c r="G476" s="64">
        <v>0</v>
      </c>
      <c r="H476" s="105" t="str">
        <f>$B$103&amp;"/м.куб."</f>
        <v>руб/м.куб.</v>
      </c>
      <c r="I476" s="132">
        <f>G476*E476</f>
        <v>0</v>
      </c>
      <c r="J476" s="63" t="str">
        <f>$B$103</f>
        <v>руб</v>
      </c>
      <c r="K476" s="4"/>
      <c r="L476" s="4"/>
      <c r="M476" s="122">
        <f>закулисье!Q7</f>
        <v>1191.4733908327371</v>
      </c>
      <c r="N476" s="4"/>
      <c r="O476" s="1015"/>
      <c r="P476" s="31"/>
    </row>
    <row r="477" spans="1:16" ht="13" customHeight="1">
      <c r="A477" s="1034" t="str">
        <f>HYPERLINK("[Proekt-kalkulyator dlya 3 chastotyi kristallicheskogo kupola.xlsx]$I$10","В начало")</f>
        <v>В начало</v>
      </c>
      <c r="B477" s="636" t="s">
        <v>676</v>
      </c>
      <c r="C477" s="636"/>
      <c r="D477" s="636"/>
      <c r="E477" s="50"/>
      <c r="F477" s="47"/>
      <c r="G477" s="124">
        <f>SUM(I474:I476)</f>
        <v>0</v>
      </c>
      <c r="H477" s="47"/>
      <c r="I477" s="147">
        <f>IF(G477=0,закулисье!Q7,G477)</f>
        <v>1191.4733908327371</v>
      </c>
      <c r="J477" s="125" t="str">
        <f>IF(G477=0,"$",$B$103)</f>
        <v>$</v>
      </c>
      <c r="K477" s="4"/>
      <c r="N477" s="4"/>
      <c r="O477" s="1015"/>
      <c r="P477" s="31"/>
    </row>
    <row r="478" spans="1:16" ht="13" customHeight="1">
      <c r="A478" s="1034"/>
      <c r="B478" s="714" t="s">
        <v>831</v>
      </c>
      <c r="C478" s="714"/>
      <c r="D478" s="714"/>
      <c r="E478" s="50"/>
      <c r="F478" s="47"/>
      <c r="G478" s="50"/>
      <c r="I478" s="126">
        <f>IF(G477=0,I477*J103,G477)</f>
        <v>79087.025000000009</v>
      </c>
      <c r="J478" s="4"/>
      <c r="K478" s="4"/>
      <c r="L478" s="715">
        <f>$L$468+$I$471+$I$478</f>
        <v>136741.23072320479</v>
      </c>
      <c r="M478" s="717" t="str">
        <f>$B$103</f>
        <v>руб</v>
      </c>
      <c r="N478" s="4"/>
      <c r="O478" s="1015"/>
      <c r="P478" s="31"/>
    </row>
    <row r="479" spans="1:16" s="107" customFormat="1" ht="13" customHeight="1">
      <c r="A479" s="1026"/>
      <c r="B479" s="714"/>
      <c r="C479" s="714"/>
      <c r="D479" s="714"/>
      <c r="E479" s="50"/>
      <c r="F479" s="104"/>
      <c r="G479" s="50"/>
      <c r="I479" s="123"/>
      <c r="J479" s="4"/>
      <c r="K479" s="4"/>
      <c r="L479" s="716"/>
      <c r="M479" s="718"/>
      <c r="N479" s="4"/>
      <c r="O479" s="1015"/>
      <c r="P479" s="31"/>
    </row>
    <row r="480" spans="1:16" ht="13" customHeight="1" thickBot="1">
      <c r="A480" s="1026"/>
      <c r="B480" s="714"/>
      <c r="C480" s="714"/>
      <c r="D480" s="714"/>
      <c r="E480" s="47"/>
      <c r="F480" s="47"/>
      <c r="G480" s="4"/>
      <c r="H480" s="33"/>
      <c r="I480" s="33"/>
      <c r="J480" s="33"/>
      <c r="K480" s="33"/>
      <c r="L480" s="716"/>
      <c r="M480" s="718"/>
      <c r="N480" s="33"/>
      <c r="O480" s="1015"/>
      <c r="P480" s="31"/>
    </row>
    <row r="481" spans="1:16" ht="13" customHeight="1" thickTop="1">
      <c r="A481" s="1026"/>
      <c r="B481" s="1096" t="s">
        <v>813</v>
      </c>
      <c r="C481" s="1097"/>
      <c r="D481" s="1097"/>
      <c r="E481" s="1097"/>
      <c r="F481" s="1097"/>
      <c r="G481" s="1097"/>
      <c r="H481" s="1097"/>
      <c r="I481" s="1097"/>
      <c r="J481" s="1097"/>
      <c r="K481" s="1097"/>
      <c r="L481" s="1097"/>
      <c r="M481" s="1097"/>
      <c r="N481" s="1098"/>
      <c r="O481" s="1015"/>
      <c r="P481" s="31"/>
    </row>
    <row r="482" spans="1:16" ht="16" customHeight="1">
      <c r="A482" s="1026"/>
      <c r="B482" s="1099"/>
      <c r="C482" s="1100"/>
      <c r="D482" s="1100"/>
      <c r="E482" s="1100"/>
      <c r="F482" s="1100"/>
      <c r="G482" s="1100"/>
      <c r="H482" s="1100"/>
      <c r="I482" s="1100"/>
      <c r="J482" s="1100"/>
      <c r="K482" s="1100"/>
      <c r="L482" s="1100"/>
      <c r="M482" s="1100"/>
      <c r="N482" s="1101"/>
      <c r="O482" s="1015"/>
    </row>
    <row r="483" spans="1:16" ht="16" customHeight="1">
      <c r="A483" s="1026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O483" s="1015"/>
    </row>
    <row r="484" spans="1:16" ht="16">
      <c r="A484" s="1026"/>
      <c r="O484" s="1015"/>
    </row>
    <row r="485" spans="1:16" ht="16">
      <c r="A485" s="1026"/>
      <c r="H485" s="115" t="str">
        <f>(E40+40)&amp; "мм."</f>
        <v>90мм.</v>
      </c>
      <c r="N485" s="121" t="s">
        <v>828</v>
      </c>
      <c r="O485" s="1015"/>
    </row>
    <row r="486" spans="1:16" ht="16">
      <c r="A486" s="1026"/>
      <c r="O486" s="1015"/>
    </row>
    <row r="487" spans="1:16" ht="16">
      <c r="A487" s="1026"/>
      <c r="O487" s="1015"/>
    </row>
    <row r="488" spans="1:16" ht="16">
      <c r="A488" s="1026"/>
      <c r="O488" s="1015"/>
    </row>
    <row r="489" spans="1:16" ht="16">
      <c r="A489" s="1026"/>
      <c r="O489" s="1015"/>
    </row>
    <row r="490" spans="1:16" ht="16">
      <c r="A490" s="1026"/>
      <c r="O490" s="1015"/>
    </row>
    <row r="491" spans="1:16" ht="16">
      <c r="A491" s="1026"/>
      <c r="O491" s="1015"/>
    </row>
    <row r="492" spans="1:16" ht="16">
      <c r="A492" s="1026"/>
      <c r="O492" s="1015"/>
    </row>
    <row r="493" spans="1:16" ht="16">
      <c r="A493" s="1026"/>
      <c r="O493" s="1015"/>
    </row>
    <row r="494" spans="1:16" ht="16">
      <c r="A494" s="1026"/>
      <c r="O494" s="1015"/>
    </row>
    <row r="495" spans="1:16" ht="16">
      <c r="A495" s="1026"/>
      <c r="O495" s="1015"/>
    </row>
    <row r="496" spans="1:16" s="107" customFormat="1" ht="16.5" thickBot="1">
      <c r="A496" s="1026"/>
      <c r="O496" s="1015"/>
    </row>
    <row r="497" spans="1:15" s="107" customFormat="1" ht="16" customHeight="1" thickTop="1">
      <c r="A497" s="1027" t="str">
        <f>HYPERLINK("[Proekt-kalkulyator dlya 3 chastotyi kristallicheskogo kupola.xlsx]F1133","В КОНЕЦ")</f>
        <v>В КОНЕЦ</v>
      </c>
      <c r="B497" s="1102" t="s">
        <v>833</v>
      </c>
      <c r="C497" s="1103"/>
      <c r="D497" s="1103"/>
      <c r="E497" s="1103"/>
      <c r="F497" s="1103"/>
      <c r="G497" s="1103"/>
      <c r="H497" s="1103"/>
      <c r="I497" s="1103"/>
      <c r="J497" s="1103"/>
      <c r="K497" s="1103"/>
      <c r="L497" s="1103"/>
      <c r="M497" s="1103"/>
      <c r="N497" s="1104"/>
      <c r="O497" s="1015"/>
    </row>
    <row r="498" spans="1:15" ht="16" customHeight="1">
      <c r="A498" s="1028"/>
      <c r="B498" s="1105"/>
      <c r="C498" s="1106"/>
      <c r="D498" s="1106"/>
      <c r="E498" s="1106"/>
      <c r="F498" s="1106"/>
      <c r="G498" s="1106"/>
      <c r="H498" s="1106"/>
      <c r="I498" s="1106"/>
      <c r="J498" s="1106"/>
      <c r="K498" s="1106"/>
      <c r="L498" s="1106"/>
      <c r="M498" s="1106"/>
      <c r="N498" s="1107"/>
      <c r="O498" s="1015"/>
    </row>
    <row r="499" spans="1:15" s="107" customFormat="1" ht="13" customHeight="1">
      <c r="A499" s="1029" t="str">
        <f>HYPERLINK("[Proekt-kalkulyator dlya 3 chastotyi kristallicheskogo kupola.xlsx]G475","КАРКАСЫ")</f>
        <v>КАРКАСЫ</v>
      </c>
      <c r="B499" s="640" t="s">
        <v>671</v>
      </c>
      <c r="C499" s="640"/>
      <c r="D499" s="640"/>
      <c r="E499" s="157"/>
      <c r="F499" s="157"/>
      <c r="G499" s="639" t="s">
        <v>814</v>
      </c>
      <c r="H499" s="641"/>
      <c r="I499" s="639" t="s">
        <v>816</v>
      </c>
      <c r="J499" s="641"/>
      <c r="K499" s="639" t="s">
        <v>680</v>
      </c>
      <c r="L499" s="641"/>
      <c r="M499" s="639" t="s">
        <v>681</v>
      </c>
      <c r="N499" s="640"/>
      <c r="O499" s="1015"/>
    </row>
    <row r="500" spans="1:15" s="107" customFormat="1" ht="13" customHeight="1">
      <c r="A500" s="1030"/>
      <c r="B500" s="627" t="str">
        <f>"Внутренняя контррейка " &amp;G22&amp;"х"&amp;E26&amp;"мм"</f>
        <v>Внутренняя контррейка 50х50мм</v>
      </c>
      <c r="C500" s="627"/>
      <c r="D500" s="627"/>
      <c r="E500" s="627"/>
      <c r="F500" s="628"/>
      <c r="G500" s="62">
        <f>IF(закулисье!K4=1,закулисье!P23,закулисье!Q23)</f>
        <v>1095</v>
      </c>
      <c r="H500" s="52" t="s">
        <v>65</v>
      </c>
      <c r="I500" s="48">
        <f>IF(закулисье!K4=1,закулисье!P25,закулисье!Q25)</f>
        <v>0.68437500000000018</v>
      </c>
      <c r="J500" s="52" t="s">
        <v>72</v>
      </c>
      <c r="K500" s="64">
        <v>8000</v>
      </c>
      <c r="L500" s="63" t="str">
        <f>$B$103&amp;"/м.куб."</f>
        <v>руб/м.куб.</v>
      </c>
      <c r="M500" s="62">
        <f>K500*I500</f>
        <v>5475.0000000000018</v>
      </c>
      <c r="N500" s="623" t="str">
        <f>B103</f>
        <v>руб</v>
      </c>
      <c r="O500" s="1015"/>
    </row>
    <row r="501" spans="1:15" ht="13" customHeight="1">
      <c r="A501" s="1029" t="str">
        <f>HYPERLINK("[Proekt-kalkulyator dlya 3 chastotyi kristallicheskogo kupola.xlsx]K745","ОБОЛОЧКА")</f>
        <v>ОБОЛОЧКА</v>
      </c>
      <c r="B501" s="627" t="str">
        <f>"Наружная контррейка " &amp;закулисье!T20&amp;"х"&amp;E40&amp;"мм"</f>
        <v>Наружная контррейка 50х50мм</v>
      </c>
      <c r="C501" s="627"/>
      <c r="D501" s="627"/>
      <c r="E501" s="627"/>
      <c r="F501" s="628"/>
      <c r="G501" s="62">
        <f>IF(закулисье!K4=1,закулисье!N23,закулисье!O23)</f>
        <v>1095</v>
      </c>
      <c r="H501" s="52" t="s">
        <v>65</v>
      </c>
      <c r="I501" s="48">
        <f>IF(закулисье!K4=1,закулисье!N25,закулисье!O25)</f>
        <v>0.68437500000000018</v>
      </c>
      <c r="J501" s="52" t="s">
        <v>72</v>
      </c>
      <c r="K501" s="64">
        <v>8000</v>
      </c>
      <c r="L501" s="63" t="str">
        <f>$B$103&amp;"/м.куб."</f>
        <v>руб/м.куб.</v>
      </c>
      <c r="M501" s="62">
        <f t="shared" ref="M501:M506" si="0">K501*I501</f>
        <v>5475.0000000000018</v>
      </c>
      <c r="N501" s="623" t="str">
        <f>B103</f>
        <v>руб</v>
      </c>
      <c r="O501" s="1015"/>
    </row>
    <row r="502" spans="1:15" s="107" customFormat="1" ht="13" customHeight="1">
      <c r="A502" s="1030"/>
      <c r="B502" s="627" t="str">
        <f>"Шуруп универсальный для внут.контррейки " &amp;(E26+40)&amp;"х5 мм"</f>
        <v>Шуруп универсальный для внут.контррейки 90х5 мм</v>
      </c>
      <c r="C502" s="627"/>
      <c r="D502" s="627"/>
      <c r="E502" s="627"/>
      <c r="F502" s="628"/>
      <c r="G502" s="62">
        <f>G500*2</f>
        <v>2190</v>
      </c>
      <c r="H502" s="52" t="s">
        <v>65</v>
      </c>
      <c r="I502" s="48">
        <f>G502*(0.003537+(0.00007668*E26))</f>
        <v>16.142490000000002</v>
      </c>
      <c r="J502" s="52" t="s">
        <v>67</v>
      </c>
      <c r="K502" s="64">
        <v>100</v>
      </c>
      <c r="L502" s="63" t="str">
        <f>$B$103&amp;"/за кг."</f>
        <v>руб/за кг.</v>
      </c>
      <c r="M502" s="62">
        <f t="shared" si="0"/>
        <v>1614.2490000000003</v>
      </c>
      <c r="N502" s="623" t="str">
        <f>B103</f>
        <v>руб</v>
      </c>
      <c r="O502" s="1015"/>
    </row>
    <row r="503" spans="1:15" s="107" customFormat="1" ht="13" customHeight="1">
      <c r="A503" s="1031" t="str">
        <f>HYPERLINK("[Proekt-kalkulyator dlya 3 chastotyi kristallicheskogo kupola.xlsx]J942","ФуНДАМЕНТ")</f>
        <v>ФуНДАМЕНТ</v>
      </c>
      <c r="B503" s="627" t="str">
        <f>"Шуруп универсальный для наруж.контррейки " &amp;(E40+40)&amp;"х5 мм"</f>
        <v>Шуруп универсальный для наруж.контррейки 90х5 мм</v>
      </c>
      <c r="C503" s="627"/>
      <c r="D503" s="627"/>
      <c r="E503" s="627"/>
      <c r="F503" s="628"/>
      <c r="G503" s="62">
        <f>G500*2</f>
        <v>2190</v>
      </c>
      <c r="H503" s="52" t="s">
        <v>65</v>
      </c>
      <c r="I503" s="48">
        <f>G503*(0.003537+(0.00007668*E40))</f>
        <v>16.142490000000002</v>
      </c>
      <c r="J503" s="52" t="s">
        <v>67</v>
      </c>
      <c r="K503" s="128">
        <v>100</v>
      </c>
      <c r="L503" s="63" t="str">
        <f>$B$103&amp;"/за кг."</f>
        <v>руб/за кг.</v>
      </c>
      <c r="M503" s="50">
        <f t="shared" si="0"/>
        <v>1614.2490000000003</v>
      </c>
      <c r="N503" s="151" t="str">
        <f>$B$103</f>
        <v>руб</v>
      </c>
      <c r="O503" s="1015"/>
    </row>
    <row r="504" spans="1:15" s="107" customFormat="1" ht="13" customHeight="1">
      <c r="A504" s="1032"/>
      <c r="B504" s="627" t="s">
        <v>817</v>
      </c>
      <c r="C504" s="627"/>
      <c r="D504" s="627"/>
      <c r="E504" s="159"/>
      <c r="F504" s="158"/>
      <c r="G504" s="62"/>
      <c r="H504" s="52"/>
      <c r="I504" s="62">
        <f>G736*1.1</f>
        <v>211.14860640686626</v>
      </c>
      <c r="J504" s="127" t="s">
        <v>819</v>
      </c>
      <c r="K504" s="130">
        <v>15</v>
      </c>
      <c r="L504" s="63" t="str">
        <f>$B$103&amp;"/за м.кв."</f>
        <v>руб/за м.кв.</v>
      </c>
      <c r="M504" s="131">
        <f>K504*I504</f>
        <v>3167.2290961029939</v>
      </c>
      <c r="N504" s="151" t="str">
        <f>$B$103</f>
        <v>руб</v>
      </c>
      <c r="O504" s="1015"/>
    </row>
    <row r="505" spans="1:15" s="107" customFormat="1" ht="13" customHeight="1">
      <c r="A505" s="1029" t="str">
        <f>HYPERLINK("[Proekt-kalkulyator dlya 3 chastotyi kristallicheskogo kupola.xlsx]K995","перекрытие п.")</f>
        <v>перекрытие п.</v>
      </c>
      <c r="B505" s="627" t="s">
        <v>818</v>
      </c>
      <c r="C505" s="627"/>
      <c r="D505" s="627"/>
      <c r="E505" s="159"/>
      <c r="F505" s="158"/>
      <c r="G505" s="49"/>
      <c r="H505" s="52"/>
      <c r="I505" s="62">
        <f>G735*1.1</f>
        <v>234.61510374816393</v>
      </c>
      <c r="J505" s="103" t="s">
        <v>819</v>
      </c>
      <c r="K505" s="129">
        <v>15</v>
      </c>
      <c r="L505" s="63" t="str">
        <f>$B$103&amp;"/за м.кв."</f>
        <v>руб/за м.кв.</v>
      </c>
      <c r="M505" s="131">
        <f>K505*I505</f>
        <v>3519.2265562224588</v>
      </c>
      <c r="N505" s="151" t="str">
        <f>$B$103</f>
        <v>руб</v>
      </c>
      <c r="O505" s="1015"/>
    </row>
    <row r="506" spans="1:15" s="107" customFormat="1" ht="13" customHeight="1">
      <c r="A506" s="1030"/>
      <c r="B506" s="627" t="s">
        <v>834</v>
      </c>
      <c r="C506" s="627"/>
      <c r="D506" s="627"/>
      <c r="E506" s="159"/>
      <c r="F506" s="158"/>
      <c r="G506" s="49"/>
      <c r="H506" s="111"/>
      <c r="I506" s="48">
        <f>IF(E44=0,0,(G735*(E44/1000))-(E471/(E22/E44)))</f>
        <v>38.889094218924654</v>
      </c>
      <c r="J506" s="442" t="s">
        <v>72</v>
      </c>
      <c r="K506" s="129">
        <v>1200</v>
      </c>
      <c r="L506" s="63" t="str">
        <f>$B$103&amp;"/за м.куб."</f>
        <v>руб/за м.куб.</v>
      </c>
      <c r="M506" s="131">
        <f t="shared" si="0"/>
        <v>46666.913062709587</v>
      </c>
      <c r="N506" s="151" t="str">
        <f>$B$103</f>
        <v>руб</v>
      </c>
      <c r="O506" s="1015"/>
    </row>
    <row r="507" spans="1:15" s="107" customFormat="1" ht="13" customHeight="1" thickBot="1">
      <c r="A507" s="1029" t="str">
        <f>HYPERLINK("[Proekt-kalkulyator dlya 3 chastotyi kristallicheskogo kupola.xlsx]K1114","перекрытие в.")</f>
        <v>перекрытие в.</v>
      </c>
      <c r="B507" s="701" t="s">
        <v>835</v>
      </c>
      <c r="C507" s="701"/>
      <c r="D507" s="701"/>
      <c r="G507" s="150"/>
      <c r="H507" s="104"/>
      <c r="I507" s="150"/>
      <c r="J507" s="104"/>
      <c r="K507" s="5"/>
      <c r="L507" s="4"/>
      <c r="M507" s="152">
        <f>SUM(M500:M506)</f>
        <v>67531.866715035052</v>
      </c>
      <c r="N507" s="151" t="str">
        <f>$B$103</f>
        <v>руб</v>
      </c>
      <c r="O507" s="1015"/>
    </row>
    <row r="508" spans="1:15" ht="16" customHeight="1" thickTop="1">
      <c r="A508" s="1030"/>
      <c r="B508" s="1096" t="s">
        <v>2975</v>
      </c>
      <c r="C508" s="1097"/>
      <c r="D508" s="1097"/>
      <c r="E508" s="1097"/>
      <c r="F508" s="1097"/>
      <c r="G508" s="1097"/>
      <c r="H508" s="1097"/>
      <c r="I508" s="1097"/>
      <c r="J508" s="1097"/>
      <c r="K508" s="1097"/>
      <c r="L508" s="1097"/>
      <c r="M508" s="1097"/>
      <c r="N508" s="1098"/>
      <c r="O508" s="1015"/>
    </row>
    <row r="509" spans="1:15" ht="16" customHeight="1">
      <c r="A509" s="1034" t="str">
        <f>HYPERLINK("[Proekt-kalkulyator dlya 3 chastotyi kristallicheskogo kupola.xlsx]$I$10","В начало")</f>
        <v>В начало</v>
      </c>
      <c r="B509" s="1099"/>
      <c r="C509" s="1100"/>
      <c r="D509" s="1100"/>
      <c r="E509" s="1100"/>
      <c r="F509" s="1100"/>
      <c r="G509" s="1100"/>
      <c r="H509" s="1100"/>
      <c r="I509" s="1100"/>
      <c r="J509" s="1100"/>
      <c r="K509" s="1100"/>
      <c r="L509" s="1100"/>
      <c r="M509" s="1100"/>
      <c r="N509" s="1101"/>
      <c r="O509" s="1015"/>
    </row>
    <row r="510" spans="1:15" ht="16" customHeight="1">
      <c r="A510" s="1034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O510" s="1015"/>
    </row>
    <row r="511" spans="1:15" ht="16">
      <c r="A511" s="1026"/>
      <c r="O511" s="1015"/>
    </row>
    <row r="512" spans="1:15" ht="16">
      <c r="A512" s="1026"/>
      <c r="O512" s="1015"/>
    </row>
    <row r="513" spans="1:15" ht="16">
      <c r="A513" s="1026"/>
      <c r="F513" s="113"/>
      <c r="H513" s="114"/>
      <c r="I513" s="114"/>
      <c r="O513" s="1015"/>
    </row>
    <row r="514" spans="1:15" ht="16">
      <c r="A514" s="1026"/>
      <c r="O514" s="1015"/>
    </row>
    <row r="515" spans="1:15" ht="16">
      <c r="A515" s="1026"/>
      <c r="O515" s="1015"/>
    </row>
    <row r="516" spans="1:15" ht="16">
      <c r="A516" s="1026"/>
      <c r="O516" s="1015"/>
    </row>
    <row r="517" spans="1:15" ht="16">
      <c r="A517" s="1026"/>
      <c r="O517" s="1015"/>
    </row>
    <row r="518" spans="1:15" ht="16">
      <c r="A518" s="1026"/>
      <c r="O518" s="1015"/>
    </row>
    <row r="519" spans="1:15" ht="16">
      <c r="A519" s="1026"/>
      <c r="O519" s="1015"/>
    </row>
    <row r="520" spans="1:15" ht="16">
      <c r="A520" s="1026"/>
      <c r="O520" s="1015"/>
    </row>
    <row r="521" spans="1:15" ht="16">
      <c r="A521" s="1026"/>
      <c r="O521" s="1015"/>
    </row>
    <row r="522" spans="1:15" ht="16">
      <c r="A522" s="1026"/>
      <c r="O522" s="1015"/>
    </row>
    <row r="523" spans="1:15" ht="16">
      <c r="A523" s="1026"/>
      <c r="O523" s="1015"/>
    </row>
    <row r="524" spans="1:15" ht="16">
      <c r="A524" s="1026"/>
      <c r="O524" s="1015"/>
    </row>
    <row r="525" spans="1:15" ht="16">
      <c r="A525" s="1026"/>
      <c r="O525" s="1015"/>
    </row>
    <row r="526" spans="1:15" ht="16">
      <c r="A526" s="1026"/>
      <c r="O526" s="1015"/>
    </row>
    <row r="527" spans="1:15" ht="16">
      <c r="A527" s="1026"/>
      <c r="O527" s="1015"/>
    </row>
    <row r="528" spans="1:15" ht="16">
      <c r="A528" s="1026"/>
      <c r="O528" s="1015"/>
    </row>
    <row r="529" spans="1:15" ht="16">
      <c r="A529" s="1026"/>
      <c r="O529" s="1015"/>
    </row>
    <row r="530" spans="1:15" ht="16">
      <c r="A530" s="1026"/>
      <c r="O530" s="1015"/>
    </row>
    <row r="531" spans="1:15" ht="16">
      <c r="A531" s="1026"/>
      <c r="O531" s="1015"/>
    </row>
    <row r="532" spans="1:15" ht="16">
      <c r="A532" s="1026"/>
      <c r="O532" s="1015"/>
    </row>
    <row r="533" spans="1:15" ht="16">
      <c r="A533" s="1026"/>
      <c r="O533" s="1015"/>
    </row>
    <row r="534" spans="1:15" ht="16">
      <c r="A534" s="1026"/>
      <c r="O534" s="1015"/>
    </row>
    <row r="535" spans="1:15" ht="16">
      <c r="A535" s="1026"/>
      <c r="O535" s="1015"/>
    </row>
    <row r="536" spans="1:15" ht="16">
      <c r="A536" s="1026"/>
      <c r="O536" s="1015"/>
    </row>
    <row r="537" spans="1:15" ht="16">
      <c r="A537" s="1026"/>
      <c r="O537" s="1015"/>
    </row>
    <row r="538" spans="1:15" ht="16">
      <c r="A538" s="1026"/>
      <c r="O538" s="1015"/>
    </row>
    <row r="539" spans="1:15" ht="16">
      <c r="A539" s="1026"/>
      <c r="O539" s="1015"/>
    </row>
    <row r="540" spans="1:15" ht="16">
      <c r="A540" s="1026"/>
      <c r="O540" s="1015"/>
    </row>
    <row r="541" spans="1:15" ht="16">
      <c r="A541" s="1026"/>
      <c r="O541" s="1015"/>
    </row>
    <row r="542" spans="1:15" ht="16">
      <c r="A542" s="1026"/>
      <c r="O542" s="1015"/>
    </row>
    <row r="543" spans="1:15" ht="16">
      <c r="A543" s="1026"/>
      <c r="O543" s="1015"/>
    </row>
    <row r="544" spans="1:15" ht="16.5" thickBot="1">
      <c r="A544" s="1026"/>
      <c r="O544" s="1015"/>
    </row>
    <row r="545" spans="1:15" ht="16" customHeight="1" thickTop="1">
      <c r="A545" s="1026"/>
      <c r="B545" s="1096" t="s">
        <v>2976</v>
      </c>
      <c r="C545" s="1097"/>
      <c r="D545" s="1097"/>
      <c r="E545" s="1097"/>
      <c r="F545" s="1097"/>
      <c r="G545" s="1097"/>
      <c r="H545" s="1097"/>
      <c r="I545" s="1097"/>
      <c r="J545" s="1097"/>
      <c r="K545" s="1097"/>
      <c r="L545" s="1097"/>
      <c r="M545" s="1097"/>
      <c r="N545" s="1098"/>
      <c r="O545" s="1015"/>
    </row>
    <row r="546" spans="1:15" ht="16" customHeight="1">
      <c r="A546" s="1026"/>
      <c r="B546" s="1099"/>
      <c r="C546" s="1100"/>
      <c r="D546" s="1100"/>
      <c r="E546" s="1100"/>
      <c r="F546" s="1100"/>
      <c r="G546" s="1100"/>
      <c r="H546" s="1100"/>
      <c r="I546" s="1100"/>
      <c r="J546" s="1100"/>
      <c r="K546" s="1100"/>
      <c r="L546" s="1100"/>
      <c r="M546" s="1100"/>
      <c r="N546" s="1101"/>
      <c r="O546" s="1015"/>
    </row>
    <row r="547" spans="1:15" ht="16">
      <c r="A547" s="1026"/>
      <c r="O547" s="1015"/>
    </row>
    <row r="548" spans="1:15" ht="16">
      <c r="A548" s="1026"/>
      <c r="O548" s="1015"/>
    </row>
    <row r="549" spans="1:15" ht="16">
      <c r="A549" s="1026"/>
      <c r="O549" s="1015"/>
    </row>
    <row r="550" spans="1:15" ht="16">
      <c r="A550" s="1026"/>
      <c r="O550" s="1015"/>
    </row>
    <row r="551" spans="1:15" ht="16">
      <c r="A551" s="1026"/>
      <c r="O551" s="1015"/>
    </row>
    <row r="552" spans="1:15" ht="16">
      <c r="A552" s="1026"/>
      <c r="O552" s="1015"/>
    </row>
    <row r="553" spans="1:15" ht="16">
      <c r="A553" s="1026"/>
      <c r="O553" s="1015"/>
    </row>
    <row r="554" spans="1:15" ht="16">
      <c r="A554" s="1026"/>
      <c r="O554" s="1017"/>
    </row>
    <row r="555" spans="1:15" ht="16">
      <c r="A555" s="1026"/>
      <c r="O555" s="1015"/>
    </row>
    <row r="556" spans="1:15" ht="16">
      <c r="A556" s="1026"/>
      <c r="O556" s="1015"/>
    </row>
    <row r="557" spans="1:15" ht="16">
      <c r="A557" s="1026"/>
      <c r="O557" s="1015"/>
    </row>
    <row r="558" spans="1:15" ht="16">
      <c r="A558" s="1026"/>
      <c r="O558" s="1015"/>
    </row>
    <row r="559" spans="1:15" ht="16">
      <c r="A559" s="1026"/>
      <c r="O559" s="1015"/>
    </row>
    <row r="560" spans="1:15" ht="16">
      <c r="A560" s="1026"/>
      <c r="O560" s="1015"/>
    </row>
    <row r="561" spans="1:15" ht="16">
      <c r="A561" s="1026"/>
      <c r="O561" s="1015"/>
    </row>
    <row r="562" spans="1:15" ht="16">
      <c r="A562" s="1026"/>
      <c r="O562" s="1015"/>
    </row>
    <row r="563" spans="1:15" ht="16">
      <c r="A563" s="1026"/>
      <c r="O563" s="1015"/>
    </row>
    <row r="564" spans="1:15" ht="16">
      <c r="A564" s="1026"/>
      <c r="O564" s="1015"/>
    </row>
    <row r="565" spans="1:15" ht="16">
      <c r="A565" s="1026"/>
      <c r="O565" s="1015"/>
    </row>
    <row r="566" spans="1:15" ht="16">
      <c r="A566" s="1026"/>
      <c r="O566" s="1015"/>
    </row>
    <row r="567" spans="1:15" ht="16">
      <c r="A567" s="1026"/>
      <c r="O567" s="1015"/>
    </row>
    <row r="568" spans="1:15" ht="16">
      <c r="A568" s="1026"/>
      <c r="O568" s="1015"/>
    </row>
    <row r="569" spans="1:15" ht="16">
      <c r="A569" s="1026"/>
      <c r="O569" s="1015"/>
    </row>
    <row r="570" spans="1:15" ht="16">
      <c r="A570" s="1026"/>
      <c r="O570" s="1015"/>
    </row>
    <row r="571" spans="1:15" ht="16">
      <c r="A571" s="1026"/>
      <c r="O571" s="1015"/>
    </row>
    <row r="572" spans="1:15" ht="16">
      <c r="A572" s="1026"/>
      <c r="O572" s="1015"/>
    </row>
    <row r="573" spans="1:15" ht="16">
      <c r="A573" s="1026"/>
      <c r="O573" s="1015"/>
    </row>
    <row r="574" spans="1:15" ht="16">
      <c r="A574" s="1026"/>
      <c r="O574" s="1015"/>
    </row>
    <row r="575" spans="1:15" ht="16">
      <c r="A575" s="1026"/>
      <c r="O575" s="1015"/>
    </row>
    <row r="576" spans="1:15" ht="16">
      <c r="A576" s="1026"/>
      <c r="O576" s="1015"/>
    </row>
    <row r="577" spans="1:15" ht="16">
      <c r="A577" s="1026"/>
      <c r="O577" s="1015"/>
    </row>
    <row r="578" spans="1:15" ht="16">
      <c r="A578" s="1026"/>
      <c r="O578" s="1015"/>
    </row>
    <row r="579" spans="1:15" ht="16">
      <c r="A579" s="1026"/>
      <c r="O579" s="1015"/>
    </row>
    <row r="580" spans="1:15" ht="16">
      <c r="A580" s="1026"/>
      <c r="O580" s="1015"/>
    </row>
    <row r="581" spans="1:15" ht="16">
      <c r="A581" s="1026"/>
      <c r="O581" s="1015"/>
    </row>
    <row r="582" spans="1:15" ht="16">
      <c r="A582" s="1026"/>
      <c r="O582" s="1015"/>
    </row>
    <row r="583" spans="1:15" ht="16">
      <c r="A583" s="1026"/>
      <c r="O583" s="1015"/>
    </row>
    <row r="584" spans="1:15" ht="16">
      <c r="A584" s="1026"/>
      <c r="O584" s="1015"/>
    </row>
    <row r="585" spans="1:15" ht="16">
      <c r="A585" s="1026"/>
      <c r="O585" s="1015"/>
    </row>
    <row r="586" spans="1:15" ht="16">
      <c r="A586" s="1026"/>
      <c r="O586" s="1015"/>
    </row>
    <row r="587" spans="1:15" ht="16">
      <c r="A587" s="1026"/>
      <c r="O587" s="1015"/>
    </row>
    <row r="588" spans="1:15" ht="16">
      <c r="A588" s="1026"/>
      <c r="O588" s="1015"/>
    </row>
    <row r="589" spans="1:15" ht="16">
      <c r="A589" s="1026"/>
      <c r="O589" s="1015"/>
    </row>
    <row r="590" spans="1:15" ht="16">
      <c r="A590" s="1026"/>
      <c r="O590" s="1015"/>
    </row>
    <row r="591" spans="1:15" ht="16">
      <c r="A591" s="1026"/>
      <c r="O591" s="1015"/>
    </row>
    <row r="592" spans="1:15" ht="16">
      <c r="A592" s="1026"/>
      <c r="O592" s="1015"/>
    </row>
    <row r="593" spans="1:15" ht="16">
      <c r="A593" s="1026"/>
      <c r="O593" s="1015"/>
    </row>
    <row r="594" spans="1:15" ht="16">
      <c r="A594" s="1026"/>
      <c r="O594" s="1015"/>
    </row>
    <row r="595" spans="1:15" ht="16">
      <c r="A595" s="1026"/>
      <c r="O595" s="1015"/>
    </row>
    <row r="596" spans="1:15" ht="16">
      <c r="A596" s="1026"/>
      <c r="O596" s="1015"/>
    </row>
    <row r="597" spans="1:15" ht="16">
      <c r="A597" s="1026"/>
      <c r="O597" s="1015"/>
    </row>
    <row r="598" spans="1:15" ht="16">
      <c r="A598" s="1026"/>
      <c r="O598" s="1015"/>
    </row>
    <row r="599" spans="1:15" ht="16">
      <c r="A599" s="1026"/>
      <c r="O599" s="1015"/>
    </row>
    <row r="600" spans="1:15" ht="16">
      <c r="A600" s="1026"/>
      <c r="O600" s="1015"/>
    </row>
    <row r="601" spans="1:15" ht="16">
      <c r="A601" s="1026"/>
      <c r="O601" s="1015"/>
    </row>
    <row r="602" spans="1:15" ht="16">
      <c r="A602" s="1026"/>
      <c r="O602" s="1015"/>
    </row>
    <row r="603" spans="1:15" ht="16">
      <c r="A603" s="1026"/>
      <c r="O603" s="1015"/>
    </row>
    <row r="604" spans="1:15" ht="16">
      <c r="A604" s="1026"/>
      <c r="O604" s="1015"/>
    </row>
    <row r="605" spans="1:15" ht="16">
      <c r="A605" s="1026"/>
      <c r="O605" s="1015"/>
    </row>
    <row r="606" spans="1:15" ht="16">
      <c r="A606" s="1026"/>
      <c r="O606" s="1015"/>
    </row>
    <row r="607" spans="1:15" ht="16">
      <c r="A607" s="1026"/>
      <c r="O607" s="1015"/>
    </row>
    <row r="608" spans="1:15" ht="16">
      <c r="A608" s="1026"/>
      <c r="O608" s="1015"/>
    </row>
    <row r="609" spans="1:15" ht="16">
      <c r="A609" s="1026"/>
      <c r="O609" s="1015"/>
    </row>
    <row r="610" spans="1:15" ht="16">
      <c r="A610" s="1026"/>
      <c r="O610" s="1015"/>
    </row>
    <row r="611" spans="1:15" ht="16">
      <c r="A611" s="1026"/>
      <c r="O611" s="1015"/>
    </row>
    <row r="612" spans="1:15" ht="16">
      <c r="A612" s="1026"/>
      <c r="O612" s="1017"/>
    </row>
    <row r="613" spans="1:15" ht="16">
      <c r="A613" s="1026"/>
      <c r="O613" s="1015"/>
    </row>
    <row r="614" spans="1:15" ht="16">
      <c r="A614" s="1026"/>
      <c r="O614" s="1015"/>
    </row>
    <row r="615" spans="1:15" ht="16">
      <c r="A615" s="1026"/>
      <c r="O615" s="1015"/>
    </row>
    <row r="616" spans="1:15" ht="16">
      <c r="A616" s="1026"/>
      <c r="O616" s="1015"/>
    </row>
    <row r="617" spans="1:15" ht="16">
      <c r="A617" s="1026"/>
      <c r="O617" s="1015"/>
    </row>
    <row r="618" spans="1:15" ht="16">
      <c r="A618" s="1026"/>
      <c r="O618" s="1015"/>
    </row>
    <row r="619" spans="1:15" ht="16">
      <c r="A619" s="1026"/>
      <c r="O619" s="1015"/>
    </row>
    <row r="620" spans="1:15" ht="16.5" thickBot="1">
      <c r="A620" s="1026"/>
      <c r="O620" s="1015"/>
    </row>
    <row r="621" spans="1:15" ht="16" customHeight="1" thickTop="1">
      <c r="A621" s="1026"/>
      <c r="B621" s="1109" t="s">
        <v>2977</v>
      </c>
      <c r="C621" s="1110"/>
      <c r="D621" s="1110"/>
      <c r="E621" s="1110"/>
      <c r="F621" s="1110"/>
      <c r="G621" s="1110"/>
      <c r="H621" s="1110"/>
      <c r="I621" s="1110"/>
      <c r="J621" s="1110"/>
      <c r="K621" s="1110"/>
      <c r="L621" s="1110"/>
      <c r="M621" s="1110"/>
      <c r="N621" s="1111"/>
      <c r="O621" s="1015"/>
    </row>
    <row r="622" spans="1:15" ht="16" customHeight="1">
      <c r="A622" s="1026"/>
      <c r="B622" s="1112"/>
      <c r="C622" s="1108"/>
      <c r="D622" s="1108"/>
      <c r="E622" s="1108"/>
      <c r="F622" s="1108"/>
      <c r="G622" s="1108"/>
      <c r="H622" s="1108"/>
      <c r="I622" s="1108"/>
      <c r="J622" s="1108"/>
      <c r="K622" s="1108"/>
      <c r="L622" s="1108"/>
      <c r="M622" s="1108"/>
      <c r="N622" s="1113"/>
      <c r="O622" s="1015"/>
    </row>
    <row r="623" spans="1:15" s="112" customFormat="1" ht="11.5" customHeight="1">
      <c r="A623" s="1026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015"/>
    </row>
    <row r="624" spans="1:15" s="112" customFormat="1" ht="11.5" customHeight="1">
      <c r="A624" s="1026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015"/>
    </row>
    <row r="625" spans="1:15" s="112" customFormat="1" ht="11.5" customHeight="1">
      <c r="A625" s="1026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015"/>
    </row>
    <row r="626" spans="1:15" s="112" customFormat="1" ht="11.5" customHeight="1">
      <c r="A626" s="1026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015"/>
    </row>
    <row r="627" spans="1:15" s="112" customFormat="1" ht="11.5" customHeight="1">
      <c r="A627" s="1026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015"/>
    </row>
    <row r="628" spans="1:15" s="112" customFormat="1" ht="11.5" customHeight="1">
      <c r="A628" s="1026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015"/>
    </row>
    <row r="629" spans="1:15" s="112" customFormat="1" ht="11.5" customHeight="1">
      <c r="A629" s="1026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015"/>
    </row>
    <row r="630" spans="1:15" s="112" customFormat="1" ht="11.5" customHeight="1">
      <c r="A630" s="1026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015"/>
    </row>
    <row r="631" spans="1:15" s="112" customFormat="1" ht="11.5" customHeight="1">
      <c r="A631" s="1026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015"/>
    </row>
    <row r="632" spans="1:15" s="112" customFormat="1" ht="11.5" customHeight="1">
      <c r="A632" s="1026"/>
      <c r="B632" s="153"/>
      <c r="C632" s="153"/>
      <c r="D632" s="153"/>
      <c r="E632" s="153"/>
      <c r="F632" s="153"/>
      <c r="G632" s="153"/>
      <c r="H632" s="153"/>
      <c r="K632" s="153"/>
      <c r="N632" s="153"/>
      <c r="O632" s="1015"/>
    </row>
    <row r="633" spans="1:15" s="112" customFormat="1" ht="11.5" customHeight="1">
      <c r="A633" s="1026"/>
      <c r="B633" s="153"/>
      <c r="C633" s="153"/>
      <c r="D633" s="153"/>
      <c r="E633" s="153"/>
      <c r="F633" s="153"/>
      <c r="G633" s="153"/>
      <c r="H633" s="153"/>
      <c r="K633" s="153"/>
      <c r="N633" s="153"/>
      <c r="O633" s="1015"/>
    </row>
    <row r="634" spans="1:15" s="112" customFormat="1" ht="11.5" customHeight="1">
      <c r="A634" s="1026"/>
      <c r="B634" s="153"/>
      <c r="C634" s="153"/>
      <c r="D634" s="153"/>
      <c r="E634" s="153"/>
      <c r="F634" s="153"/>
      <c r="G634" s="153"/>
      <c r="H634" s="153"/>
      <c r="I634" s="706">
        <f>закулисье!$G$32</f>
        <v>2082.9985290356299</v>
      </c>
      <c r="J634" s="706"/>
      <c r="K634" s="153"/>
      <c r="L634" s="707">
        <f>I634</f>
        <v>2082.9985290356299</v>
      </c>
      <c r="M634" s="707"/>
      <c r="N634" s="153"/>
      <c r="O634" s="1015"/>
    </row>
    <row r="635" spans="1:15" s="112" customFormat="1" ht="11.5" customHeight="1">
      <c r="A635" s="1026"/>
      <c r="B635" s="153"/>
      <c r="C635" s="153"/>
      <c r="D635" s="153"/>
      <c r="E635" s="153"/>
      <c r="F635" s="153"/>
      <c r="G635" s="153"/>
      <c r="H635" s="153"/>
      <c r="I635" s="706"/>
      <c r="J635" s="706"/>
      <c r="K635" s="153"/>
      <c r="L635" s="707"/>
      <c r="M635" s="707"/>
      <c r="N635" s="153"/>
      <c r="O635" s="1015"/>
    </row>
    <row r="636" spans="1:15" s="112" customFormat="1" ht="11.5" customHeight="1">
      <c r="A636" s="1026"/>
      <c r="B636" s="153"/>
      <c r="C636" s="708">
        <f>F636</f>
        <v>1760.7792468168198</v>
      </c>
      <c r="D636" s="708"/>
      <c r="E636" s="153"/>
      <c r="F636" s="709">
        <f>закулисье!$G$30</f>
        <v>1760.7792468168198</v>
      </c>
      <c r="G636" s="709"/>
      <c r="H636" s="153"/>
      <c r="I636" s="153"/>
      <c r="J636" s="153"/>
      <c r="K636" s="153"/>
      <c r="L636" s="153"/>
      <c r="M636" s="153"/>
      <c r="N636" s="153"/>
      <c r="O636" s="1015"/>
    </row>
    <row r="637" spans="1:15" s="112" customFormat="1" ht="11.5" customHeight="1">
      <c r="A637" s="1026"/>
      <c r="B637" s="153"/>
      <c r="C637" s="708"/>
      <c r="D637" s="708"/>
      <c r="E637" s="153"/>
      <c r="F637" s="709"/>
      <c r="G637" s="709"/>
      <c r="H637" s="153"/>
      <c r="I637" s="153"/>
      <c r="J637" s="153"/>
      <c r="K637" s="153"/>
      <c r="L637" s="153"/>
      <c r="M637" s="153"/>
      <c r="N637" s="153"/>
      <c r="O637" s="1015"/>
    </row>
    <row r="638" spans="1:15" s="112" customFormat="1" ht="11.5" customHeight="1">
      <c r="A638" s="1026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015"/>
    </row>
    <row r="639" spans="1:15" s="112" customFormat="1" ht="11.5" customHeight="1">
      <c r="A639" s="1026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015"/>
    </row>
    <row r="640" spans="1:15" s="112" customFormat="1" ht="11.5" customHeight="1">
      <c r="A640" s="1026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015"/>
    </row>
    <row r="641" spans="1:15" s="112" customFormat="1" ht="11.5" customHeight="1">
      <c r="A641" s="1026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015"/>
    </row>
    <row r="642" spans="1:15" s="112" customFormat="1" ht="11.5" customHeight="1">
      <c r="A642" s="1026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015"/>
    </row>
    <row r="643" spans="1:15" s="112" customFormat="1" ht="11.5" customHeight="1">
      <c r="A643" s="1026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015"/>
    </row>
    <row r="644" spans="1:15" s="112" customFormat="1" ht="11.5" customHeight="1">
      <c r="A644" s="1026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015"/>
    </row>
    <row r="645" spans="1:15" s="112" customFormat="1" ht="11.5" customHeight="1">
      <c r="A645" s="1026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015"/>
    </row>
    <row r="646" spans="1:15" s="112" customFormat="1" ht="11.5" customHeight="1">
      <c r="A646" s="1026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015"/>
    </row>
    <row r="647" spans="1:15" s="112" customFormat="1" ht="11.5" customHeight="1">
      <c r="A647" s="1026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015"/>
    </row>
    <row r="648" spans="1:15" s="112" customFormat="1" ht="11.5" customHeight="1">
      <c r="A648" s="1026"/>
      <c r="B648" s="153"/>
      <c r="C648" s="153"/>
      <c r="D648" s="675">
        <f>D652</f>
        <v>2038.2324309501487</v>
      </c>
      <c r="E648" s="675"/>
      <c r="F648" s="675"/>
      <c r="G648" s="153"/>
      <c r="H648" s="153"/>
      <c r="I648" s="153"/>
      <c r="J648" s="710">
        <f>D648</f>
        <v>2038.2324309501487</v>
      </c>
      <c r="K648" s="710"/>
      <c r="L648" s="710"/>
      <c r="M648" s="153"/>
      <c r="N648" s="153"/>
      <c r="O648" s="1015"/>
    </row>
    <row r="649" spans="1:15" s="112" customFormat="1" ht="11.5" customHeight="1">
      <c r="A649" s="1026"/>
      <c r="B649" s="153"/>
      <c r="C649" s="153"/>
      <c r="D649" s="675"/>
      <c r="E649" s="675"/>
      <c r="F649" s="675"/>
      <c r="G649" s="153"/>
      <c r="H649" s="153"/>
      <c r="I649" s="153"/>
      <c r="J649" s="710"/>
      <c r="K649" s="710"/>
      <c r="L649" s="710"/>
      <c r="M649" s="153"/>
      <c r="N649" s="153"/>
      <c r="O649" s="1015"/>
    </row>
    <row r="650" spans="1:15" s="112" customFormat="1" ht="11.5" customHeight="1">
      <c r="A650" s="1026"/>
      <c r="B650" s="153"/>
      <c r="C650" s="153"/>
      <c r="D650" s="153"/>
      <c r="E650" s="153"/>
      <c r="F650" s="700" t="s">
        <v>839</v>
      </c>
      <c r="G650" s="700"/>
      <c r="H650" s="153"/>
      <c r="I650" s="153"/>
      <c r="J650" s="710"/>
      <c r="K650" s="710"/>
      <c r="L650" s="710"/>
      <c r="M650" s="699" t="str">
        <f>IF(закулисье!K5=1,"75 штук","45 штук")</f>
        <v>75 штук</v>
      </c>
      <c r="N650" s="153"/>
      <c r="O650" s="1015"/>
    </row>
    <row r="651" spans="1:15" s="112" customFormat="1" ht="11.5" customHeight="1">
      <c r="A651" s="1026"/>
      <c r="B651" s="153"/>
      <c r="C651" s="153"/>
      <c r="D651" s="153"/>
      <c r="E651" s="153"/>
      <c r="F651" s="700"/>
      <c r="G651" s="700"/>
      <c r="H651" s="153"/>
      <c r="I651" s="153"/>
      <c r="J651" s="153"/>
      <c r="K651" s="153"/>
      <c r="L651" s="153"/>
      <c r="M651" s="699"/>
      <c r="N651" s="153"/>
      <c r="O651" s="1015"/>
    </row>
    <row r="652" spans="1:15" ht="11.5" customHeight="1">
      <c r="A652" s="1026"/>
      <c r="B652" s="153"/>
      <c r="C652" s="153"/>
      <c r="D652" s="711">
        <f>закулисье!$F$26</f>
        <v>2038.2324309501487</v>
      </c>
      <c r="E652" s="711"/>
      <c r="F652" s="711"/>
      <c r="G652" s="154"/>
      <c r="H652" s="153"/>
      <c r="I652" s="153"/>
      <c r="J652" s="712">
        <f>закулисье!$I$28</f>
        <v>2081.439109617394</v>
      </c>
      <c r="K652" s="712"/>
      <c r="L652" s="712"/>
      <c r="M652" s="153"/>
      <c r="N652" s="153"/>
      <c r="O652" s="1015"/>
    </row>
    <row r="653" spans="1:15" ht="10" customHeight="1">
      <c r="A653" s="1026"/>
      <c r="B653" s="153"/>
      <c r="C653" s="153"/>
      <c r="D653" s="711"/>
      <c r="E653" s="711"/>
      <c r="F653" s="711"/>
      <c r="G653" s="154"/>
      <c r="H653" s="153"/>
      <c r="I653" s="153"/>
      <c r="J653" s="712"/>
      <c r="K653" s="712"/>
      <c r="L653" s="712"/>
      <c r="M653" s="153"/>
      <c r="N653" s="153"/>
      <c r="O653" s="1015"/>
    </row>
    <row r="654" spans="1:15" ht="10" customHeight="1">
      <c r="A654" s="1026"/>
      <c r="B654" s="153"/>
      <c r="C654" s="153"/>
      <c r="D654" s="711"/>
      <c r="E654" s="711"/>
      <c r="F654" s="711"/>
      <c r="G654" s="154"/>
      <c r="J654" s="712"/>
      <c r="K654" s="712"/>
      <c r="L654" s="712"/>
      <c r="M654" s="153"/>
      <c r="N654" s="153"/>
      <c r="O654" s="1015"/>
    </row>
    <row r="655" spans="1:15" ht="10" customHeight="1">
      <c r="A655" s="1026"/>
      <c r="B655" s="153"/>
      <c r="C655" s="153"/>
      <c r="D655" s="154"/>
      <c r="E655" s="154"/>
      <c r="F655" s="154"/>
      <c r="G655" s="154"/>
      <c r="J655" s="153"/>
      <c r="K655" s="153"/>
      <c r="L655" s="153"/>
      <c r="M655" s="153"/>
      <c r="N655" s="153"/>
      <c r="O655" s="1015"/>
    </row>
    <row r="656" spans="1:15" ht="10" customHeight="1">
      <c r="A656" s="1026"/>
      <c r="B656" s="153"/>
      <c r="C656" s="153"/>
      <c r="D656" s="153"/>
      <c r="E656" s="153"/>
      <c r="F656" s="153"/>
      <c r="J656" s="153"/>
      <c r="K656" s="153"/>
      <c r="L656" s="153"/>
      <c r="M656" s="153"/>
      <c r="N656" s="153"/>
      <c r="O656" s="1015"/>
    </row>
    <row r="657" spans="1:15" ht="10" customHeight="1">
      <c r="A657" s="1026"/>
      <c r="B657" s="153"/>
      <c r="C657" s="153"/>
      <c r="D657" s="153"/>
      <c r="E657" s="153"/>
      <c r="F657" s="153"/>
      <c r="J657" s="153"/>
      <c r="K657" s="153"/>
      <c r="L657" s="153"/>
      <c r="M657" s="153"/>
      <c r="N657" s="153"/>
      <c r="O657" s="1015"/>
    </row>
    <row r="658" spans="1:15" ht="10" customHeight="1">
      <c r="A658" s="1026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015"/>
    </row>
    <row r="659" spans="1:15" ht="10" customHeight="1">
      <c r="A659" s="1026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015"/>
    </row>
    <row r="660" spans="1:15" ht="10" customHeight="1">
      <c r="A660" s="1026"/>
      <c r="B660" s="153"/>
      <c r="C660" s="153"/>
      <c r="D660" s="153"/>
      <c r="E660" s="153"/>
      <c r="F660" s="153"/>
      <c r="G660" s="153"/>
      <c r="H660" s="711">
        <f>B661</f>
        <v>1071.0269386852244</v>
      </c>
      <c r="I660" s="810">
        <f>закулисье!$G$28</f>
        <v>1071.0269386852244</v>
      </c>
      <c r="J660" s="153"/>
      <c r="K660" s="153"/>
      <c r="L660" s="153"/>
      <c r="M660" s="153"/>
      <c r="N660" s="153"/>
      <c r="O660" s="1015"/>
    </row>
    <row r="661" spans="1:15" ht="10" customHeight="1">
      <c r="A661" s="1026"/>
      <c r="B661" s="810">
        <f>IF(закулисье!$K$5=1,закулисье!$G$26,закулисье!$H$28)</f>
        <v>1071.0269386852244</v>
      </c>
      <c r="C661" s="810"/>
      <c r="D661" s="153"/>
      <c r="E661" s="153"/>
      <c r="F661" s="153"/>
      <c r="G661" s="153"/>
      <c r="H661" s="711"/>
      <c r="I661" s="810"/>
      <c r="J661" s="153"/>
      <c r="K661" s="153"/>
      <c r="L661" s="153"/>
      <c r="M661" s="153"/>
      <c r="N661" s="153"/>
      <c r="O661" s="1015"/>
    </row>
    <row r="662" spans="1:15" ht="10" customHeight="1">
      <c r="A662" s="1026"/>
      <c r="B662" s="810"/>
      <c r="C662" s="810"/>
      <c r="D662" s="153"/>
      <c r="E662" s="153"/>
      <c r="F662" s="153"/>
      <c r="G662" s="153"/>
      <c r="H662" s="711"/>
      <c r="I662" s="810"/>
      <c r="J662" s="153"/>
      <c r="K662" s="153"/>
      <c r="L662" s="153"/>
      <c r="M662" s="153"/>
      <c r="N662" s="704">
        <f>закулисье!$H$28</f>
        <v>990.45081420429869</v>
      </c>
      <c r="O662" s="1015"/>
    </row>
    <row r="663" spans="1:15" ht="10" customHeight="1">
      <c r="A663" s="1026"/>
      <c r="B663" s="810"/>
      <c r="C663" s="810"/>
      <c r="D663" s="153"/>
      <c r="E663" s="153"/>
      <c r="F663" s="153"/>
      <c r="G663" s="153"/>
      <c r="H663" s="711"/>
      <c r="I663" s="810"/>
      <c r="J663" s="153"/>
      <c r="K663" s="153"/>
      <c r="L663" s="153"/>
      <c r="M663" s="153"/>
      <c r="N663" s="704"/>
      <c r="O663" s="1015"/>
    </row>
    <row r="664" spans="1:15" ht="10" customHeight="1">
      <c r="A664" s="1026"/>
      <c r="B664" s="810"/>
      <c r="C664" s="810"/>
      <c r="D664" s="153"/>
      <c r="E664" s="153"/>
      <c r="F664" s="153"/>
      <c r="G664" s="153"/>
      <c r="H664" s="711"/>
      <c r="I664" s="810"/>
      <c r="J664" s="153"/>
      <c r="K664" s="153"/>
      <c r="L664" s="153"/>
      <c r="M664" s="153"/>
      <c r="N664" s="704"/>
      <c r="O664" s="1015"/>
    </row>
    <row r="665" spans="1:15" ht="10" customHeight="1">
      <c r="A665" s="1026"/>
      <c r="B665" s="810"/>
      <c r="C665" s="810"/>
      <c r="D665" s="153"/>
      <c r="E665" s="153"/>
      <c r="F665" s="153"/>
      <c r="G665" s="153"/>
      <c r="H665" s="711"/>
      <c r="I665" s="810"/>
      <c r="J665" s="153"/>
      <c r="K665" s="153"/>
      <c r="L665" s="153"/>
      <c r="M665" s="153"/>
      <c r="N665" s="704"/>
      <c r="O665" s="1015"/>
    </row>
    <row r="666" spans="1:15" ht="10" customHeight="1">
      <c r="A666" s="1026"/>
      <c r="B666" s="810"/>
      <c r="C666" s="810"/>
      <c r="D666" s="153"/>
      <c r="E666" s="153"/>
      <c r="F666" s="153"/>
      <c r="G666" s="153"/>
      <c r="H666" s="711"/>
      <c r="I666" s="810"/>
      <c r="J666" s="153"/>
      <c r="K666" s="153"/>
      <c r="L666" s="153"/>
      <c r="M666" s="153"/>
      <c r="N666" s="704"/>
      <c r="O666" s="1015"/>
    </row>
    <row r="667" spans="1:15" ht="10" customHeight="1">
      <c r="A667" s="1026"/>
      <c r="B667" s="810"/>
      <c r="C667" s="810"/>
      <c r="E667" s="153"/>
      <c r="F667" s="153"/>
      <c r="G667" s="153"/>
      <c r="H667" s="153"/>
      <c r="J667" s="153"/>
      <c r="K667" s="153"/>
      <c r="M667" s="153"/>
      <c r="N667" s="153"/>
      <c r="O667" s="1015"/>
    </row>
    <row r="668" spans="1:15" ht="10" customHeight="1">
      <c r="A668" s="1026"/>
      <c r="B668" s="153"/>
      <c r="C668" s="153"/>
      <c r="E668" s="153"/>
      <c r="F668" s="153"/>
      <c r="G668" s="153"/>
      <c r="H668" s="153"/>
      <c r="I668" s="153"/>
      <c r="J668" s="153"/>
      <c r="K668" s="153"/>
      <c r="M668" s="153"/>
      <c r="N668" s="153"/>
      <c r="O668" s="1015"/>
    </row>
    <row r="669" spans="1:15" ht="10" customHeight="1">
      <c r="A669" s="1026"/>
      <c r="B669" s="153"/>
      <c r="C669" s="153"/>
      <c r="E669" s="153"/>
      <c r="F669" s="153"/>
      <c r="G669" s="153"/>
      <c r="H669" s="153"/>
      <c r="I669" s="153"/>
      <c r="J669" s="153"/>
      <c r="K669" s="153"/>
      <c r="M669" s="153"/>
      <c r="N669" s="153"/>
      <c r="O669" s="1015"/>
    </row>
    <row r="670" spans="1:15" ht="10" customHeight="1">
      <c r="A670" s="1026"/>
      <c r="B670" s="153"/>
      <c r="C670" s="153"/>
      <c r="E670" s="153"/>
      <c r="F670" s="153"/>
      <c r="G670" s="153"/>
      <c r="H670" s="153"/>
      <c r="I670" s="153"/>
      <c r="J670" s="153"/>
      <c r="K670" s="153"/>
      <c r="M670" s="153"/>
      <c r="N670" s="153"/>
      <c r="O670" s="1015"/>
    </row>
    <row r="671" spans="1:15" ht="10" customHeight="1">
      <c r="A671" s="1026"/>
      <c r="B671" s="153"/>
      <c r="C671" s="153"/>
      <c r="E671" s="153"/>
      <c r="F671" s="153"/>
      <c r="G671" s="153"/>
      <c r="H671" s="153"/>
      <c r="I671" s="153"/>
      <c r="J671" s="153"/>
      <c r="K671" s="153"/>
      <c r="M671" s="153"/>
      <c r="N671" s="153"/>
      <c r="O671" s="1015"/>
    </row>
    <row r="672" spans="1:15" ht="10" customHeight="1">
      <c r="A672" s="1026"/>
      <c r="B672" s="153"/>
      <c r="C672" s="153"/>
      <c r="E672" s="153"/>
      <c r="F672" s="153"/>
      <c r="G672" s="153"/>
      <c r="H672" s="153"/>
      <c r="I672" s="153"/>
      <c r="J672" s="153"/>
      <c r="K672" s="153"/>
      <c r="M672" s="153"/>
      <c r="N672" s="153"/>
      <c r="O672" s="1015"/>
    </row>
    <row r="673" spans="1:15" ht="10" customHeight="1">
      <c r="A673" s="1026"/>
      <c r="B673" s="153"/>
      <c r="C673" s="153"/>
      <c r="D673" s="702">
        <f>D652</f>
        <v>2038.2324309501487</v>
      </c>
      <c r="E673" s="702"/>
      <c r="F673" s="154"/>
      <c r="G673" s="153"/>
      <c r="H673" s="153"/>
      <c r="I673" s="153"/>
      <c r="J673" s="712">
        <f>J652</f>
        <v>2081.439109617394</v>
      </c>
      <c r="K673" s="712"/>
      <c r="L673" s="712"/>
      <c r="M673" s="153"/>
      <c r="N673" s="153"/>
      <c r="O673" s="1015"/>
    </row>
    <row r="674" spans="1:15" ht="10" customHeight="1">
      <c r="A674" s="1026"/>
      <c r="B674" s="153"/>
      <c r="C674" s="153"/>
      <c r="D674" s="702"/>
      <c r="E674" s="702"/>
      <c r="F674" s="703" t="s">
        <v>625</v>
      </c>
      <c r="G674" s="153"/>
      <c r="H674" s="153"/>
      <c r="I674" s="153"/>
      <c r="J674" s="712"/>
      <c r="K674" s="712"/>
      <c r="L674" s="712"/>
      <c r="M674" s="703" t="s">
        <v>626</v>
      </c>
      <c r="N674" s="153"/>
      <c r="O674" s="1015"/>
    </row>
    <row r="675" spans="1:15" ht="10" customHeight="1" thickBot="1">
      <c r="A675" s="1026"/>
      <c r="B675" s="153"/>
      <c r="C675" s="153"/>
      <c r="D675" s="702"/>
      <c r="E675" s="702"/>
      <c r="F675" s="703"/>
      <c r="G675" s="153"/>
      <c r="H675" s="153"/>
      <c r="I675" s="153"/>
      <c r="J675" s="712"/>
      <c r="K675" s="712"/>
      <c r="L675" s="712"/>
      <c r="M675" s="703"/>
      <c r="N675" s="153"/>
      <c r="O675" s="1015"/>
    </row>
    <row r="676" spans="1:15" s="112" customFormat="1" ht="16" customHeight="1" thickTop="1">
      <c r="A676" s="1026"/>
      <c r="B676" s="1109" t="s">
        <v>2978</v>
      </c>
      <c r="C676" s="1110"/>
      <c r="D676" s="1110"/>
      <c r="E676" s="1110"/>
      <c r="F676" s="1110"/>
      <c r="G676" s="1110"/>
      <c r="H676" s="1110"/>
      <c r="I676" s="1110"/>
      <c r="J676" s="1110"/>
      <c r="K676" s="1110"/>
      <c r="L676" s="1110"/>
      <c r="M676" s="1110"/>
      <c r="N676" s="1111"/>
      <c r="O676" s="1015"/>
    </row>
    <row r="677" spans="1:15" s="112" customFormat="1" ht="16" customHeight="1">
      <c r="A677" s="1026"/>
      <c r="B677" s="1112"/>
      <c r="C677" s="1108"/>
      <c r="D677" s="1108"/>
      <c r="E677" s="1108"/>
      <c r="F677" s="1108"/>
      <c r="G677" s="1108"/>
      <c r="H677" s="1108"/>
      <c r="I677" s="1108"/>
      <c r="J677" s="1108"/>
      <c r="K677" s="1108"/>
      <c r="L677" s="1108"/>
      <c r="M677" s="1108"/>
      <c r="N677" s="1113"/>
      <c r="O677" s="1015"/>
    </row>
    <row r="678" spans="1:15" s="112" customFormat="1" ht="11.5" customHeight="1">
      <c r="A678" s="1026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015"/>
    </row>
    <row r="679" spans="1:15" s="112" customFormat="1" ht="11.5" customHeight="1">
      <c r="A679" s="1026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015"/>
    </row>
    <row r="680" spans="1:15" s="112" customFormat="1" ht="11.5" customHeight="1">
      <c r="A680" s="1026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015"/>
    </row>
    <row r="681" spans="1:15" s="112" customFormat="1" ht="11.5" customHeight="1">
      <c r="A681" s="1026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015"/>
    </row>
    <row r="682" spans="1:15" s="112" customFormat="1" ht="11.5" customHeight="1">
      <c r="A682" s="1026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015"/>
    </row>
    <row r="683" spans="1:15" s="112" customFormat="1" ht="11.5" customHeight="1">
      <c r="A683" s="1026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015"/>
    </row>
    <row r="684" spans="1:15" s="112" customFormat="1" ht="11.5" customHeight="1">
      <c r="A684" s="1026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015"/>
    </row>
    <row r="685" spans="1:15" s="112" customFormat="1" ht="11.5" customHeight="1">
      <c r="A685" s="1026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015"/>
    </row>
    <row r="686" spans="1:15" s="112" customFormat="1" ht="11.5" customHeight="1">
      <c r="A686" s="1026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015"/>
    </row>
    <row r="687" spans="1:15" s="112" customFormat="1" ht="11.5" customHeight="1">
      <c r="A687" s="1026"/>
      <c r="B687" s="153"/>
      <c r="C687" s="153"/>
      <c r="D687" s="153"/>
      <c r="E687" s="153"/>
      <c r="F687" s="153"/>
      <c r="G687" s="153"/>
      <c r="H687" s="153"/>
      <c r="K687" s="153"/>
      <c r="N687" s="153"/>
      <c r="O687" s="1015"/>
    </row>
    <row r="688" spans="1:15" s="112" customFormat="1" ht="11.5" customHeight="1">
      <c r="A688" s="1026"/>
      <c r="B688" s="153"/>
      <c r="C688" s="153"/>
      <c r="D688" s="153"/>
      <c r="E688" s="153"/>
      <c r="F688" s="153"/>
      <c r="G688" s="153"/>
      <c r="H688" s="153"/>
      <c r="K688" s="153"/>
      <c r="N688" s="153"/>
      <c r="O688" s="1015"/>
    </row>
    <row r="689" spans="1:15" s="112" customFormat="1" ht="11.5" customHeight="1">
      <c r="A689" s="1026"/>
      <c r="B689" s="153"/>
      <c r="C689" s="153"/>
      <c r="D689" s="153"/>
      <c r="E689" s="153"/>
      <c r="F689" s="153"/>
      <c r="G689" s="153"/>
      <c r="H689" s="153"/>
      <c r="I689" s="706">
        <f>закулисье!F36</f>
        <v>1948.9751560075999</v>
      </c>
      <c r="J689" s="706"/>
      <c r="K689" s="153"/>
      <c r="L689" s="707">
        <f>I689</f>
        <v>1948.9751560075999</v>
      </c>
      <c r="M689" s="707"/>
      <c r="N689" s="153"/>
      <c r="O689" s="1015"/>
    </row>
    <row r="690" spans="1:15" s="112" customFormat="1" ht="11.5" customHeight="1">
      <c r="A690" s="1026"/>
      <c r="B690" s="153"/>
      <c r="C690" s="153"/>
      <c r="D690" s="153"/>
      <c r="E690" s="153"/>
      <c r="F690" s="153"/>
      <c r="G690" s="153"/>
      <c r="H690" s="153"/>
      <c r="I690" s="706"/>
      <c r="J690" s="706"/>
      <c r="K690" s="153"/>
      <c r="L690" s="707"/>
      <c r="M690" s="707"/>
      <c r="N690" s="153"/>
      <c r="O690" s="1017"/>
    </row>
    <row r="691" spans="1:15" s="112" customFormat="1" ht="11.5" customHeight="1">
      <c r="A691" s="1026"/>
      <c r="B691" s="153"/>
      <c r="C691" s="708">
        <f>F691</f>
        <v>1647.4879647891751</v>
      </c>
      <c r="D691" s="708"/>
      <c r="E691" s="153"/>
      <c r="F691" s="709">
        <f>закулисье!G38</f>
        <v>1647.4879647891751</v>
      </c>
      <c r="G691" s="709"/>
      <c r="H691" s="153"/>
      <c r="I691" s="153"/>
      <c r="J691" s="153"/>
      <c r="K691" s="153"/>
      <c r="L691" s="153"/>
      <c r="M691" s="153"/>
      <c r="N691" s="153"/>
      <c r="O691" s="1015"/>
    </row>
    <row r="692" spans="1:15" s="112" customFormat="1" ht="11.5" customHeight="1">
      <c r="A692" s="1026"/>
      <c r="B692" s="153"/>
      <c r="C692" s="708"/>
      <c r="D692" s="708"/>
      <c r="E692" s="153"/>
      <c r="F692" s="709"/>
      <c r="G692" s="709"/>
      <c r="H692" s="153"/>
      <c r="I692" s="153"/>
      <c r="J692" s="153"/>
      <c r="K692" s="153"/>
      <c r="L692" s="153"/>
      <c r="M692" s="153"/>
      <c r="N692" s="153"/>
      <c r="O692" s="1015"/>
    </row>
    <row r="693" spans="1:15" s="112" customFormat="1" ht="11.5" customHeight="1">
      <c r="A693" s="1026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015"/>
    </row>
    <row r="694" spans="1:15" s="112" customFormat="1" ht="11.5" customHeight="1">
      <c r="A694" s="1026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015"/>
    </row>
    <row r="695" spans="1:15" s="112" customFormat="1" ht="11.5" customHeight="1">
      <c r="A695" s="1026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015"/>
    </row>
    <row r="696" spans="1:15" s="112" customFormat="1" ht="11.5" customHeight="1">
      <c r="A696" s="1026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015"/>
    </row>
    <row r="697" spans="1:15" s="112" customFormat="1" ht="11.5" customHeight="1">
      <c r="A697" s="1026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015"/>
    </row>
    <row r="698" spans="1:15" s="112" customFormat="1" ht="11.5" customHeight="1">
      <c r="A698" s="1026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015"/>
    </row>
    <row r="699" spans="1:15" s="112" customFormat="1" ht="11.5" customHeight="1">
      <c r="A699" s="1026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015"/>
    </row>
    <row r="700" spans="1:15" s="112" customFormat="1" ht="11.5" customHeight="1">
      <c r="A700" s="1026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015"/>
    </row>
    <row r="701" spans="1:15" s="112" customFormat="1" ht="11.5" customHeight="1">
      <c r="A701" s="1026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015"/>
    </row>
    <row r="702" spans="1:15" s="112" customFormat="1" ht="11.5" customHeight="1">
      <c r="A702" s="1026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015"/>
    </row>
    <row r="703" spans="1:15" s="112" customFormat="1" ht="11.5" customHeight="1">
      <c r="A703" s="1026"/>
      <c r="B703" s="153"/>
      <c r="C703" s="153"/>
      <c r="D703" s="675">
        <f>D707</f>
        <v>1907.0893784691991</v>
      </c>
      <c r="E703" s="675"/>
      <c r="F703" s="675"/>
      <c r="G703" s="153"/>
      <c r="H703" s="153"/>
      <c r="I703" s="153"/>
      <c r="J703" s="710">
        <f>D703</f>
        <v>1907.0893784691991</v>
      </c>
      <c r="K703" s="710"/>
      <c r="L703" s="710"/>
      <c r="M703" s="153"/>
      <c r="N703" s="153"/>
      <c r="O703" s="1015"/>
    </row>
    <row r="704" spans="1:15" s="112" customFormat="1" ht="11.5" customHeight="1">
      <c r="A704" s="1026"/>
      <c r="B704" s="153"/>
      <c r="C704" s="153"/>
      <c r="D704" s="675"/>
      <c r="E704" s="675"/>
      <c r="F704" s="675"/>
      <c r="G704" s="153"/>
      <c r="H704" s="153"/>
      <c r="I704" s="153"/>
      <c r="J704" s="710"/>
      <c r="K704" s="710"/>
      <c r="L704" s="710"/>
      <c r="M704" s="153"/>
      <c r="N704" s="153"/>
      <c r="O704" s="1015"/>
    </row>
    <row r="705" spans="1:15" s="112" customFormat="1" ht="11.5" customHeight="1">
      <c r="A705" s="1026"/>
      <c r="B705" s="153"/>
      <c r="C705" s="153"/>
      <c r="D705" s="153"/>
      <c r="E705" s="153"/>
      <c r="F705" s="700" t="s">
        <v>839</v>
      </c>
      <c r="G705" s="700"/>
      <c r="H705" s="153"/>
      <c r="I705" s="153"/>
      <c r="J705" s="710"/>
      <c r="K705" s="710"/>
      <c r="L705" s="710"/>
      <c r="M705" s="699" t="str">
        <f>IF(закулисье!K5=1,"75 штук","45 штук")</f>
        <v>75 штук</v>
      </c>
      <c r="N705" s="153"/>
      <c r="O705" s="1015"/>
    </row>
    <row r="706" spans="1:15" s="112" customFormat="1" ht="11.5" customHeight="1">
      <c r="A706" s="1026"/>
      <c r="B706" s="153"/>
      <c r="C706" s="153"/>
      <c r="D706" s="153"/>
      <c r="E706" s="153"/>
      <c r="F706" s="700"/>
      <c r="G706" s="700"/>
      <c r="H706" s="153"/>
      <c r="I706" s="153"/>
      <c r="J706" s="153"/>
      <c r="K706" s="153"/>
      <c r="L706" s="153"/>
      <c r="M706" s="699"/>
      <c r="N706" s="153"/>
      <c r="O706" s="1015"/>
    </row>
    <row r="707" spans="1:15" s="112" customFormat="1" ht="11.5" customHeight="1">
      <c r="A707" s="1026"/>
      <c r="B707" s="153"/>
      <c r="C707" s="153"/>
      <c r="D707" s="711">
        <f>закулисье!F34</f>
        <v>1907.0893784691991</v>
      </c>
      <c r="E707" s="711"/>
      <c r="F707" s="711"/>
      <c r="G707" s="154"/>
      <c r="H707" s="153"/>
      <c r="I707" s="153"/>
      <c r="J707" s="712">
        <f>закулисье!I36</f>
        <v>1947.516072066074</v>
      </c>
      <c r="K707" s="712"/>
      <c r="L707" s="712"/>
      <c r="M707" s="153"/>
      <c r="N707" s="153"/>
      <c r="O707" s="1015"/>
    </row>
    <row r="708" spans="1:15" s="112" customFormat="1" ht="10" customHeight="1">
      <c r="A708" s="1026"/>
      <c r="B708" s="153"/>
      <c r="C708" s="153"/>
      <c r="D708" s="711"/>
      <c r="E708" s="711"/>
      <c r="F708" s="711"/>
      <c r="G708" s="154"/>
      <c r="H708" s="153"/>
      <c r="I708" s="153"/>
      <c r="J708" s="712"/>
      <c r="K708" s="712"/>
      <c r="L708" s="712"/>
      <c r="M708" s="153"/>
      <c r="N708" s="153"/>
      <c r="O708" s="1015"/>
    </row>
    <row r="709" spans="1:15" s="112" customFormat="1" ht="10" customHeight="1">
      <c r="A709" s="1026"/>
      <c r="B709" s="153"/>
      <c r="C709" s="153"/>
      <c r="D709" s="711"/>
      <c r="E709" s="711"/>
      <c r="F709" s="711"/>
      <c r="G709" s="154"/>
      <c r="J709" s="712"/>
      <c r="K709" s="712"/>
      <c r="L709" s="712"/>
      <c r="M709" s="153"/>
      <c r="N709" s="153"/>
      <c r="O709" s="1015"/>
    </row>
    <row r="710" spans="1:15" s="112" customFormat="1" ht="10" customHeight="1">
      <c r="A710" s="1026"/>
      <c r="B710" s="153"/>
      <c r="C710" s="153"/>
      <c r="D710" s="154"/>
      <c r="E710" s="154"/>
      <c r="F710" s="154"/>
      <c r="G710" s="154"/>
      <c r="J710" s="153"/>
      <c r="K710" s="153"/>
      <c r="L710" s="153"/>
      <c r="M710" s="153"/>
      <c r="N710" s="153"/>
      <c r="O710" s="1015"/>
    </row>
    <row r="711" spans="1:15" s="112" customFormat="1" ht="10" customHeight="1">
      <c r="A711" s="1026"/>
      <c r="B711" s="153"/>
      <c r="C711" s="153"/>
      <c r="D711" s="153"/>
      <c r="E711" s="153"/>
      <c r="F711" s="153"/>
      <c r="J711" s="153"/>
      <c r="K711" s="153"/>
      <c r="L711" s="153"/>
      <c r="M711" s="153"/>
      <c r="N711" s="153"/>
      <c r="O711" s="1015"/>
    </row>
    <row r="712" spans="1:15" s="112" customFormat="1" ht="10" customHeight="1">
      <c r="A712" s="1026"/>
      <c r="B712" s="153"/>
      <c r="C712" s="153"/>
      <c r="D712" s="153"/>
      <c r="E712" s="153"/>
      <c r="F712" s="153"/>
      <c r="J712" s="153"/>
      <c r="K712" s="153"/>
      <c r="L712" s="153"/>
      <c r="M712" s="153"/>
      <c r="N712" s="153"/>
      <c r="O712" s="1015"/>
    </row>
    <row r="713" spans="1:15" s="112" customFormat="1" ht="10" customHeight="1">
      <c r="A713" s="1026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015"/>
    </row>
    <row r="714" spans="1:15" s="112" customFormat="1" ht="10" customHeight="1">
      <c r="A714" s="1026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015"/>
    </row>
    <row r="715" spans="1:15" s="112" customFormat="1" ht="10" customHeight="1">
      <c r="A715" s="1026"/>
      <c r="B715" s="153"/>
      <c r="C715" s="153"/>
      <c r="D715" s="153"/>
      <c r="E715" s="153"/>
      <c r="F715" s="153"/>
      <c r="G715" s="153"/>
      <c r="H715" s="711">
        <f>B716</f>
        <v>1126.9573342997878</v>
      </c>
      <c r="I715" s="810">
        <f>закулисье!G36</f>
        <v>1126.9573342997878</v>
      </c>
      <c r="J715" s="153"/>
      <c r="K715" s="153"/>
      <c r="L715" s="153"/>
      <c r="M715" s="153"/>
      <c r="N715" s="153"/>
      <c r="O715" s="1015"/>
    </row>
    <row r="716" spans="1:15" s="112" customFormat="1" ht="10" customHeight="1">
      <c r="A716" s="1026"/>
      <c r="B716" s="810">
        <f>IF(закулисье!$K$5=1,закулисье!$G$34,закулисье!$H$36)</f>
        <v>1126.9573342997878</v>
      </c>
      <c r="C716" s="810"/>
      <c r="D716" s="153"/>
      <c r="E716" s="153"/>
      <c r="F716" s="153"/>
      <c r="G716" s="153"/>
      <c r="H716" s="711"/>
      <c r="I716" s="810"/>
      <c r="J716" s="153"/>
      <c r="K716" s="153"/>
      <c r="L716" s="153"/>
      <c r="M716" s="153"/>
      <c r="N716" s="153"/>
      <c r="O716" s="1015"/>
    </row>
    <row r="717" spans="1:15" s="112" customFormat="1" ht="10" customHeight="1">
      <c r="A717" s="1026"/>
      <c r="B717" s="810"/>
      <c r="C717" s="810"/>
      <c r="D717" s="153"/>
      <c r="E717" s="153"/>
      <c r="F717" s="153"/>
      <c r="G717" s="153"/>
      <c r="H717" s="711"/>
      <c r="I717" s="810"/>
      <c r="J717" s="153"/>
      <c r="K717" s="153"/>
      <c r="L717" s="153"/>
      <c r="M717" s="153"/>
      <c r="N717" s="704">
        <f>закулисье!H36</f>
        <v>1051.5656032967872</v>
      </c>
      <c r="O717" s="1015"/>
    </row>
    <row r="718" spans="1:15" s="112" customFormat="1" ht="10" customHeight="1">
      <c r="A718" s="1026"/>
      <c r="B718" s="810"/>
      <c r="C718" s="810"/>
      <c r="D718" s="153"/>
      <c r="E718" s="153"/>
      <c r="F718" s="153"/>
      <c r="G718" s="153"/>
      <c r="H718" s="711"/>
      <c r="I718" s="810"/>
      <c r="J718" s="153"/>
      <c r="K718" s="153"/>
      <c r="L718" s="153"/>
      <c r="M718" s="153"/>
      <c r="N718" s="704"/>
      <c r="O718" s="1015"/>
    </row>
    <row r="719" spans="1:15" s="112" customFormat="1" ht="10" customHeight="1">
      <c r="A719" s="1026"/>
      <c r="B719" s="810"/>
      <c r="C719" s="810"/>
      <c r="D719" s="153"/>
      <c r="E719" s="153"/>
      <c r="F719" s="153"/>
      <c r="G719" s="153"/>
      <c r="H719" s="711"/>
      <c r="I719" s="810"/>
      <c r="J719" s="153"/>
      <c r="K719" s="153"/>
      <c r="L719" s="153"/>
      <c r="M719" s="153"/>
      <c r="N719" s="704"/>
      <c r="O719" s="1015"/>
    </row>
    <row r="720" spans="1:15" s="112" customFormat="1" ht="10" customHeight="1">
      <c r="A720" s="1026"/>
      <c r="B720" s="810"/>
      <c r="C720" s="810"/>
      <c r="D720" s="153"/>
      <c r="E720" s="153"/>
      <c r="F720" s="153"/>
      <c r="G720" s="153"/>
      <c r="H720" s="711"/>
      <c r="I720" s="810"/>
      <c r="J720" s="153"/>
      <c r="K720" s="153"/>
      <c r="L720" s="153"/>
      <c r="M720" s="153"/>
      <c r="N720" s="704"/>
      <c r="O720" s="1015"/>
    </row>
    <row r="721" spans="1:15" s="112" customFormat="1" ht="10" customHeight="1">
      <c r="A721" s="1026"/>
      <c r="B721" s="810"/>
      <c r="C721" s="810"/>
      <c r="D721" s="153"/>
      <c r="E721" s="153"/>
      <c r="F721" s="153"/>
      <c r="G721" s="153"/>
      <c r="H721" s="711"/>
      <c r="I721" s="810"/>
      <c r="J721" s="153"/>
      <c r="K721" s="153"/>
      <c r="L721" s="153"/>
      <c r="M721" s="153"/>
      <c r="N721" s="704"/>
      <c r="O721" s="1015"/>
    </row>
    <row r="722" spans="1:15" s="112" customFormat="1" ht="10" customHeight="1">
      <c r="A722" s="1026"/>
      <c r="B722" s="810"/>
      <c r="C722" s="810"/>
      <c r="E722" s="153"/>
      <c r="F722" s="153"/>
      <c r="G722" s="153"/>
      <c r="H722" s="153"/>
      <c r="J722" s="153"/>
      <c r="K722" s="153"/>
      <c r="M722" s="153"/>
      <c r="N722" s="153"/>
      <c r="O722" s="1015"/>
    </row>
    <row r="723" spans="1:15" s="112" customFormat="1" ht="10" customHeight="1">
      <c r="A723" s="1026"/>
      <c r="B723" s="153"/>
      <c r="C723" s="153"/>
      <c r="E723" s="153"/>
      <c r="F723" s="153"/>
      <c r="G723" s="153"/>
      <c r="H723" s="153"/>
      <c r="I723" s="153"/>
      <c r="J723" s="153"/>
      <c r="K723" s="153"/>
      <c r="M723" s="153"/>
      <c r="N723" s="153"/>
      <c r="O723" s="1015"/>
    </row>
    <row r="724" spans="1:15" s="112" customFormat="1" ht="10" customHeight="1">
      <c r="A724" s="1026"/>
      <c r="B724" s="153"/>
      <c r="C724" s="153"/>
      <c r="E724" s="153"/>
      <c r="F724" s="153"/>
      <c r="G724" s="153"/>
      <c r="H724" s="153"/>
      <c r="I724" s="153"/>
      <c r="J724" s="153"/>
      <c r="K724" s="153"/>
      <c r="M724" s="153"/>
      <c r="N724" s="153"/>
      <c r="O724" s="1015"/>
    </row>
    <row r="725" spans="1:15" s="112" customFormat="1" ht="10" customHeight="1">
      <c r="A725" s="1026"/>
      <c r="B725" s="153"/>
      <c r="C725" s="153"/>
      <c r="E725" s="153"/>
      <c r="F725" s="153"/>
      <c r="G725" s="153"/>
      <c r="H725" s="153"/>
      <c r="I725" s="153"/>
      <c r="J725" s="153"/>
      <c r="K725" s="153"/>
      <c r="M725" s="153"/>
      <c r="N725" s="153"/>
      <c r="O725" s="1015"/>
    </row>
    <row r="726" spans="1:15" s="112" customFormat="1" ht="10" customHeight="1">
      <c r="A726" s="1026"/>
      <c r="B726" s="153"/>
      <c r="C726" s="153"/>
      <c r="E726" s="153"/>
      <c r="F726" s="153"/>
      <c r="G726" s="153"/>
      <c r="H726" s="153"/>
      <c r="I726" s="153"/>
      <c r="J726" s="153"/>
      <c r="K726" s="153"/>
      <c r="M726" s="153"/>
      <c r="N726" s="153"/>
      <c r="O726" s="1015"/>
    </row>
    <row r="727" spans="1:15" s="112" customFormat="1" ht="10" customHeight="1">
      <c r="A727" s="1026"/>
      <c r="B727" s="153"/>
      <c r="C727" s="153"/>
      <c r="E727" s="153"/>
      <c r="F727" s="153"/>
      <c r="G727" s="153"/>
      <c r="H727" s="153"/>
      <c r="I727" s="153"/>
      <c r="J727" s="153"/>
      <c r="K727" s="153"/>
      <c r="M727" s="153"/>
      <c r="N727" s="153"/>
      <c r="O727" s="1015"/>
    </row>
    <row r="728" spans="1:15" s="112" customFormat="1" ht="10" customHeight="1">
      <c r="A728" s="1026"/>
      <c r="B728" s="153"/>
      <c r="C728" s="153"/>
      <c r="D728" s="801">
        <f>D707</f>
        <v>1907.0893784691991</v>
      </c>
      <c r="E728" s="801"/>
      <c r="F728" s="154"/>
      <c r="G728" s="153"/>
      <c r="H728" s="153"/>
      <c r="I728" s="153"/>
      <c r="J728" s="712">
        <f>J707</f>
        <v>1947.516072066074</v>
      </c>
      <c r="K728" s="712"/>
      <c r="L728" s="712"/>
      <c r="M728" s="153"/>
      <c r="N728" s="153"/>
      <c r="O728" s="1015"/>
    </row>
    <row r="729" spans="1:15" s="112" customFormat="1" ht="10" customHeight="1">
      <c r="A729" s="1026"/>
      <c r="B729" s="153"/>
      <c r="C729" s="153"/>
      <c r="D729" s="801"/>
      <c r="E729" s="801"/>
      <c r="F729" s="703" t="s">
        <v>625</v>
      </c>
      <c r="G729" s="153"/>
      <c r="H729" s="153"/>
      <c r="I729" s="153"/>
      <c r="J729" s="712"/>
      <c r="K729" s="712"/>
      <c r="L729" s="712"/>
      <c r="M729" s="703" t="s">
        <v>626</v>
      </c>
      <c r="N729" s="153"/>
      <c r="O729" s="1015"/>
    </row>
    <row r="730" spans="1:15" s="112" customFormat="1" ht="10" customHeight="1" thickBot="1">
      <c r="A730" s="1026"/>
      <c r="B730" s="153"/>
      <c r="C730" s="153"/>
      <c r="D730" s="801"/>
      <c r="E730" s="801"/>
      <c r="F730" s="703"/>
      <c r="G730" s="153"/>
      <c r="H730" s="153"/>
      <c r="I730" s="153"/>
      <c r="J730" s="712"/>
      <c r="K730" s="712"/>
      <c r="L730" s="712"/>
      <c r="M730" s="703"/>
      <c r="N730" s="153"/>
      <c r="O730" s="1015"/>
    </row>
    <row r="731" spans="1:15" ht="10" customHeight="1" thickTop="1">
      <c r="A731" s="1026"/>
      <c r="B731" s="1109" t="s">
        <v>2895</v>
      </c>
      <c r="C731" s="1110"/>
      <c r="D731" s="1110"/>
      <c r="E731" s="1110"/>
      <c r="F731" s="1110"/>
      <c r="G731" s="1110"/>
      <c r="H731" s="1110"/>
      <c r="I731" s="1110"/>
      <c r="J731" s="1110"/>
      <c r="K731" s="1110"/>
      <c r="L731" s="1110"/>
      <c r="M731" s="1110"/>
      <c r="N731" s="1111"/>
      <c r="O731" s="1015"/>
    </row>
    <row r="732" spans="1:15" ht="10" customHeight="1">
      <c r="A732" s="1026"/>
      <c r="B732" s="1112"/>
      <c r="C732" s="1108"/>
      <c r="D732" s="1108"/>
      <c r="E732" s="1108"/>
      <c r="F732" s="1108"/>
      <c r="G732" s="1108"/>
      <c r="H732" s="1108"/>
      <c r="I732" s="1108"/>
      <c r="J732" s="1108"/>
      <c r="K732" s="1108"/>
      <c r="L732" s="1108"/>
      <c r="M732" s="1108"/>
      <c r="N732" s="1113"/>
      <c r="O732" s="1015"/>
    </row>
    <row r="733" spans="1:15" ht="10" customHeight="1">
      <c r="A733" s="1027" t="str">
        <f>HYPERLINK("[Proekt-kalkulyator dlya 3 chastotyi kristallicheskogo kupola.xlsx]F1133","В КОНЕЦ")</f>
        <v>В КОНЕЦ</v>
      </c>
      <c r="B733" s="1112"/>
      <c r="C733" s="1108"/>
      <c r="D733" s="1108"/>
      <c r="E733" s="1108"/>
      <c r="F733" s="1108"/>
      <c r="G733" s="1108"/>
      <c r="H733" s="1108"/>
      <c r="I733" s="1108"/>
      <c r="J733" s="1108"/>
      <c r="K733" s="1108"/>
      <c r="L733" s="1108"/>
      <c r="M733" s="1108"/>
      <c r="N733" s="1113"/>
      <c r="O733" s="1015"/>
    </row>
    <row r="734" spans="1:15" ht="13" customHeight="1">
      <c r="A734" s="1028"/>
      <c r="B734" s="803" t="s">
        <v>671</v>
      </c>
      <c r="C734" s="803"/>
      <c r="D734" s="803"/>
      <c r="E734" s="803"/>
      <c r="F734" s="804"/>
      <c r="G734" s="640" t="s">
        <v>672</v>
      </c>
      <c r="H734" s="641"/>
      <c r="I734" s="639" t="s">
        <v>816</v>
      </c>
      <c r="J734" s="641"/>
      <c r="K734" s="639" t="s">
        <v>680</v>
      </c>
      <c r="L734" s="641"/>
      <c r="M734" s="802" t="s">
        <v>681</v>
      </c>
      <c r="N734" s="1000"/>
      <c r="O734" s="1015"/>
    </row>
    <row r="735" spans="1:15" ht="13" customHeight="1">
      <c r="A735" s="1029" t="str">
        <f>HYPERLINK("[Proekt-kalkulyator dlya 3 chastotyi kristallicheskogo kupola.xlsx]G475","КАРКАСЫ")</f>
        <v>КАРКАСЫ</v>
      </c>
      <c r="B735" s="627" t="s">
        <v>837</v>
      </c>
      <c r="C735" s="627"/>
      <c r="D735" s="627"/>
      <c r="E735" s="627"/>
      <c r="F735" s="628"/>
      <c r="G735" s="62">
        <f>закулисье!J29+закулисье!J33</f>
        <v>213.28645795287628</v>
      </c>
      <c r="H735" s="52" t="s">
        <v>840</v>
      </c>
      <c r="I735" s="48">
        <f>G735*(F59/1000)</f>
        <v>3.1992968692931441</v>
      </c>
      <c r="J735" s="52" t="s">
        <v>72</v>
      </c>
      <c r="K735" s="64">
        <v>500</v>
      </c>
      <c r="L735" s="161" t="str">
        <f>$B$103&amp;"/м.кв."</f>
        <v>руб/м.кв.</v>
      </c>
      <c r="M735" s="62">
        <f>K735*G735</f>
        <v>106643.22897643814</v>
      </c>
      <c r="N735" s="294" t="str">
        <f t="shared" ref="N735:N741" si="1">$B$103</f>
        <v>руб</v>
      </c>
      <c r="O735" s="1015"/>
    </row>
    <row r="736" spans="1:15" ht="13" customHeight="1">
      <c r="A736" s="1030"/>
      <c r="B736" s="627" t="s">
        <v>838</v>
      </c>
      <c r="C736" s="627"/>
      <c r="D736" s="627"/>
      <c r="E736" s="627"/>
      <c r="F736" s="628"/>
      <c r="G736" s="62">
        <f>закулисье!J37+закулисье!J41</f>
        <v>191.9532785516966</v>
      </c>
      <c r="H736" s="52" t="s">
        <v>840</v>
      </c>
      <c r="I736" s="48">
        <f>G736*(G31/1000)</f>
        <v>3.8390655710339319</v>
      </c>
      <c r="J736" s="52" t="s">
        <v>72</v>
      </c>
      <c r="K736" s="64">
        <v>400</v>
      </c>
      <c r="L736" s="161" t="str">
        <f>$B$103&amp;"/м.кв."</f>
        <v>руб/м.кв.</v>
      </c>
      <c r="M736" s="62">
        <f>K736*G736</f>
        <v>76781.311420678641</v>
      </c>
      <c r="N736" s="294" t="str">
        <f t="shared" si="1"/>
        <v>руб</v>
      </c>
      <c r="O736" s="1015"/>
    </row>
    <row r="737" spans="1:15" s="156" customFormat="1" ht="13" customHeight="1">
      <c r="A737" s="1027" t="str">
        <f>HYPERLINK("[Proekt-kalkulyator dlya 3 chastotyi kristallicheskogo kupola.xlsx]K505","наполнение")</f>
        <v>наполнение</v>
      </c>
      <c r="B737" s="627" t="s">
        <v>850</v>
      </c>
      <c r="C737" s="627"/>
      <c r="D737" s="627"/>
      <c r="E737" s="627"/>
      <c r="F737" s="628"/>
      <c r="G737" s="62">
        <f>((((D707+B716+D728+H715)*5)+((I715+J707+N717+J728)*10)+((I689+L689+J703)*закулисье!K32)+((C691+F691+D703)*30))/1000)/2</f>
        <v>341.25797698636677</v>
      </c>
      <c r="H737" s="52" t="s">
        <v>848</v>
      </c>
      <c r="I737" s="62">
        <f>G737</f>
        <v>341.25797698636677</v>
      </c>
      <c r="J737" s="52" t="s">
        <v>848</v>
      </c>
      <c r="K737" s="64">
        <v>15</v>
      </c>
      <c r="L737" s="161" t="str">
        <f>$B$103&amp;"/м/п."</f>
        <v>руб/м/п.</v>
      </c>
      <c r="M737" s="62">
        <f>K737*I737</f>
        <v>5118.8696547955014</v>
      </c>
      <c r="N737" s="294" t="str">
        <f t="shared" si="1"/>
        <v>руб</v>
      </c>
      <c r="O737" s="1015"/>
    </row>
    <row r="738" spans="1:15" s="156" customFormat="1" ht="13" customHeight="1">
      <c r="A738" s="1028"/>
      <c r="B738" s="627" t="str">
        <f>"Шуруп универсальный для наружн. обшивки " &amp;(F59+40)&amp;"х4 мм"</f>
        <v>Шуруп универсальный для наружн. обшивки 55х4 мм</v>
      </c>
      <c r="C738" s="627"/>
      <c r="D738" s="627"/>
      <c r="E738" s="627"/>
      <c r="F738" s="628"/>
      <c r="G738" s="62">
        <f>((((D673+B661+D652+H660)*5)+((J673+I660+J652+N662)*10)+((I634+L634+J648)*закулисье!K32)+((C636+F636+D648)*30))/200)</f>
        <v>3627.2354641585807</v>
      </c>
      <c r="H738" s="52" t="s">
        <v>65</v>
      </c>
      <c r="I738" s="48">
        <f>((F59*0.000048325)+0.002186)*G738</f>
        <v>10.55842903173261</v>
      </c>
      <c r="J738" s="52" t="s">
        <v>67</v>
      </c>
      <c r="K738" s="64">
        <v>140</v>
      </c>
      <c r="L738" s="161" t="str">
        <f>$B$103&amp;"/кг"</f>
        <v>руб/кг</v>
      </c>
      <c r="M738" s="62">
        <f>K738*I738</f>
        <v>1478.1800644425653</v>
      </c>
      <c r="N738" s="294" t="str">
        <f t="shared" si="1"/>
        <v>руб</v>
      </c>
      <c r="O738" s="1015"/>
    </row>
    <row r="739" spans="1:15" s="156" customFormat="1" ht="13" customHeight="1">
      <c r="A739" s="1031" t="str">
        <f>HYPERLINK("[Proekt-kalkulyator dlya 3 chastotyi kristallicheskogo kupola.xlsx]J942","ФуНДАМЕНТ")</f>
        <v>ФуНДАМЕНТ</v>
      </c>
      <c r="B739" s="627" t="str">
        <f>"Шуруп универсальный для внутр. обшивки " &amp;(G31+40)&amp;"х4 мм"</f>
        <v>Шуруп универсальный для внутр. обшивки 60х4 мм</v>
      </c>
      <c r="C739" s="627"/>
      <c r="D739" s="627"/>
      <c r="E739" s="627"/>
      <c r="F739" s="628"/>
      <c r="G739" s="62">
        <f>((((D707+B716+D728+H715)*5)+((I715+J707+N717+J728)*10)+((I689+L689+J703)*закулисье!K32)+((C691+F691+D703)*30))/200)</f>
        <v>3412.5797698636679</v>
      </c>
      <c r="H739" s="52" t="s">
        <v>65</v>
      </c>
      <c r="I739" s="48">
        <f>((G31*0.000048325)+0.002186)*G739</f>
        <v>10.758157724495213</v>
      </c>
      <c r="J739" s="52" t="s">
        <v>67</v>
      </c>
      <c r="K739" s="64">
        <v>140</v>
      </c>
      <c r="L739" s="161" t="str">
        <f>$B$103&amp;"/кг."</f>
        <v>руб/кг.</v>
      </c>
      <c r="M739" s="62">
        <f>K739*I739</f>
        <v>1506.1420814293299</v>
      </c>
      <c r="N739" s="294" t="str">
        <f t="shared" si="1"/>
        <v>руб</v>
      </c>
      <c r="O739" s="1015"/>
    </row>
    <row r="740" spans="1:15" s="156" customFormat="1" ht="13" customHeight="1">
      <c r="A740" s="1032"/>
      <c r="B740" s="827" t="str">
        <f>HYPERLINK("https://www.youtube.com/watch?v=3tmqLyDRzyY","Бутилкаучуковый герметик для наружных стыков")</f>
        <v>Бутилкаучуковый герметик для наружных стыков</v>
      </c>
      <c r="C740" s="827"/>
      <c r="D740" s="827"/>
      <c r="E740" s="827"/>
      <c r="F740" s="828"/>
      <c r="G740" s="48">
        <f>I740*0.9</f>
        <v>36.725759074605634</v>
      </c>
      <c r="H740" s="52" t="s">
        <v>91</v>
      </c>
      <c r="I740" s="160">
        <f>(((((((D673+B661+D652+H660)*5)+((J673+I660+J652+N662)*10)+((I634+L634+J648)*закулисье!K32)+((C636+F636+D648)*30))/1000)/2)*(((F59*F59)/2)/1000000)))*1000</f>
        <v>40.806398971784034</v>
      </c>
      <c r="J740" s="52" t="s">
        <v>849</v>
      </c>
      <c r="K740" s="64">
        <v>150</v>
      </c>
      <c r="L740" s="161" t="str">
        <f>$B$103&amp;"/кг."</f>
        <v>руб/кг.</v>
      </c>
      <c r="M740" s="62">
        <f>K740*G740</f>
        <v>5508.8638611908455</v>
      </c>
      <c r="N740" s="294" t="str">
        <f t="shared" si="1"/>
        <v>руб</v>
      </c>
      <c r="O740" s="1015"/>
    </row>
    <row r="741" spans="1:15" ht="13" customHeight="1">
      <c r="A741" s="1029" t="str">
        <f>HYPERLINK("[Proekt-kalkulyator dlya 3 chastotyi kristallicheskogo kupola.xlsx]K995","перекрытие п.")</f>
        <v>перекрытие п.</v>
      </c>
      <c r="B741" s="627" t="s">
        <v>804</v>
      </c>
      <c r="C741" s="627"/>
      <c r="D741" s="627"/>
      <c r="E741" s="627"/>
      <c r="F741" s="628"/>
      <c r="G741" s="62">
        <f>закулисье!J33</f>
        <v>180.91724665627672</v>
      </c>
      <c r="H741" s="52" t="s">
        <v>840</v>
      </c>
      <c r="I741" s="62">
        <f>ROUNDUP(G741/15,0)</f>
        <v>13</v>
      </c>
      <c r="J741" s="52" t="s">
        <v>67</v>
      </c>
      <c r="K741" s="64">
        <v>2400</v>
      </c>
      <c r="L741" s="161" t="str">
        <f>$B$103&amp;"/за рулон."</f>
        <v>руб/за рулон.</v>
      </c>
      <c r="M741" s="62">
        <f>I741*K741</f>
        <v>31200</v>
      </c>
      <c r="N741" s="294" t="str">
        <f t="shared" si="1"/>
        <v>руб</v>
      </c>
      <c r="O741" s="1015"/>
    </row>
    <row r="742" spans="1:15" ht="13" customHeight="1">
      <c r="A742" s="1030"/>
      <c r="B742" s="627" t="s">
        <v>842</v>
      </c>
      <c r="C742" s="627"/>
      <c r="D742" s="627"/>
      <c r="E742" s="627"/>
      <c r="F742" s="628"/>
      <c r="G742" s="62">
        <f>G741</f>
        <v>180.91724665627672</v>
      </c>
      <c r="H742" s="52" t="s">
        <v>840</v>
      </c>
      <c r="I742" s="62">
        <f>G742*8</f>
        <v>1447.3379732502137</v>
      </c>
      <c r="J742" s="52" t="s">
        <v>67</v>
      </c>
      <c r="K742" s="128">
        <v>340</v>
      </c>
      <c r="L742" s="161" t="str">
        <f>$B$103&amp;"/за кг."</f>
        <v>руб/за кг.</v>
      </c>
      <c r="M742" s="50">
        <f>G742*K742</f>
        <v>61511.863863134087</v>
      </c>
      <c r="N742" s="294" t="str">
        <f>$B$103</f>
        <v>руб</v>
      </c>
      <c r="O742" s="1015"/>
    </row>
    <row r="743" spans="1:15" ht="13" customHeight="1">
      <c r="A743" s="1029" t="str">
        <f>HYPERLINK("[Proekt-kalkulyator dlya 3 chastotyi kristallicheskogo kupola.xlsx]K1114","перекрытие в.")</f>
        <v>перекрытие в.</v>
      </c>
      <c r="B743" s="627" t="s">
        <v>844</v>
      </c>
      <c r="C743" s="627"/>
      <c r="D743" s="627"/>
      <c r="E743" s="627"/>
      <c r="F743" s="628"/>
      <c r="G743" s="62">
        <f>42*G742</f>
        <v>7598.5243595636221</v>
      </c>
      <c r="H743" s="127" t="s">
        <v>65</v>
      </c>
      <c r="I743" s="160">
        <f>G741*0.1</f>
        <v>18.091724665627673</v>
      </c>
      <c r="J743" s="52" t="s">
        <v>91</v>
      </c>
      <c r="K743" s="130">
        <v>150</v>
      </c>
      <c r="L743" s="161" t="str">
        <f>$B$103&amp;"/за м.кв."</f>
        <v>руб/за м.кв.</v>
      </c>
      <c r="M743" s="131">
        <f>K743*I743</f>
        <v>2713.7586998441511</v>
      </c>
      <c r="N743" s="294" t="str">
        <f>$B$103</f>
        <v>руб</v>
      </c>
      <c r="O743" s="1015"/>
    </row>
    <row r="744" spans="1:15" ht="13" customHeight="1">
      <c r="A744" s="1030"/>
      <c r="B744" s="627" t="s">
        <v>843</v>
      </c>
      <c r="C744" s="627"/>
      <c r="D744" s="627"/>
      <c r="E744" s="627"/>
      <c r="F744" s="628"/>
      <c r="G744" s="49">
        <f>закулисье!J29</f>
        <v>32.369211296599573</v>
      </c>
      <c r="H744" s="52" t="s">
        <v>840</v>
      </c>
      <c r="I744" s="48">
        <f>(F59/1000)*G744</f>
        <v>0.48553816944899358</v>
      </c>
      <c r="J744" s="155" t="s">
        <v>72</v>
      </c>
      <c r="K744" s="129">
        <v>100</v>
      </c>
      <c r="L744" s="161" t="str">
        <f>$B$103&amp;"/за м.кв."</f>
        <v>руб/за м.кв.</v>
      </c>
      <c r="M744" s="131">
        <f>K744*G744</f>
        <v>3236.9211296599574</v>
      </c>
      <c r="N744" s="294" t="str">
        <f>$B$103</f>
        <v>руб</v>
      </c>
      <c r="O744" s="1015"/>
    </row>
    <row r="745" spans="1:15" ht="13" customHeight="1">
      <c r="A745" s="1034" t="str">
        <f>HYPERLINK("[Proekt-kalkulyator dlya 3 chastotyi kristallicheskogo kupola.xlsx]$I$10","В начало")</f>
        <v>В начало</v>
      </c>
      <c r="B745" s="627" t="s">
        <v>845</v>
      </c>
      <c r="C745" s="627"/>
      <c r="D745" s="627"/>
      <c r="E745" s="627"/>
      <c r="F745" s="628"/>
      <c r="G745" s="49">
        <f>((D673*5)+(J673*10))/1000</f>
        <v>31.005553250924685</v>
      </c>
      <c r="H745" s="52" t="s">
        <v>846</v>
      </c>
      <c r="I745" s="62">
        <f>G745</f>
        <v>31.005553250924685</v>
      </c>
      <c r="J745" s="155" t="s">
        <v>846</v>
      </c>
      <c r="K745" s="129">
        <v>100</v>
      </c>
      <c r="L745" s="161" t="str">
        <f>$B$103&amp;"/за м.п."</f>
        <v>руб/за м.п.</v>
      </c>
      <c r="M745" s="131">
        <f>K745*I745</f>
        <v>3100.5553250924686</v>
      </c>
      <c r="N745" s="294" t="str">
        <f>$B$103</f>
        <v>руб</v>
      </c>
      <c r="O745" s="1015"/>
    </row>
    <row r="746" spans="1:15" ht="13" customHeight="1">
      <c r="A746" s="1034"/>
      <c r="B746" s="701" t="s">
        <v>835</v>
      </c>
      <c r="C746" s="701"/>
      <c r="D746" s="701"/>
      <c r="E746" s="701"/>
      <c r="F746" s="701"/>
      <c r="G746" s="150"/>
      <c r="H746" s="104"/>
      <c r="I746" s="150"/>
      <c r="J746" s="104"/>
      <c r="K746" s="5"/>
      <c r="L746" s="5"/>
      <c r="M746" s="293">
        <f>SUM(M735:M745)</f>
        <v>298799.69507670571</v>
      </c>
      <c r="N746" s="294" t="str">
        <f>$B$103</f>
        <v>руб</v>
      </c>
      <c r="O746" s="1015"/>
    </row>
    <row r="747" spans="1:15" ht="10" customHeight="1">
      <c r="A747" s="1026"/>
      <c r="B747" s="292"/>
      <c r="C747" s="292"/>
      <c r="D747" s="292"/>
      <c r="E747" s="652" t="s">
        <v>2878</v>
      </c>
      <c r="F747" s="652"/>
      <c r="G747" s="652"/>
      <c r="H747" s="652"/>
      <c r="I747" s="652"/>
      <c r="J747" s="652"/>
      <c r="K747" s="292"/>
      <c r="L747" s="292"/>
      <c r="M747" s="292"/>
      <c r="N747" s="292"/>
      <c r="O747" s="1015"/>
    </row>
    <row r="748" spans="1:15" ht="10" customHeight="1">
      <c r="A748" s="1026"/>
      <c r="B748" s="292"/>
      <c r="C748" s="292"/>
      <c r="D748" s="292"/>
      <c r="E748" s="652"/>
      <c r="F748" s="652"/>
      <c r="G748" s="652"/>
      <c r="H748" s="652"/>
      <c r="I748" s="652"/>
      <c r="J748" s="652"/>
      <c r="K748" s="292"/>
      <c r="L748" s="292"/>
      <c r="M748" s="292"/>
      <c r="N748" s="292"/>
      <c r="O748" s="1015"/>
    </row>
    <row r="749" spans="1:15" ht="10" customHeight="1">
      <c r="A749" s="1026"/>
      <c r="B749" s="330"/>
      <c r="C749" s="330"/>
      <c r="D749" s="330"/>
      <c r="E749" s="653"/>
      <c r="F749" s="653"/>
      <c r="G749" s="653"/>
      <c r="H749" s="653"/>
      <c r="I749" s="653"/>
      <c r="J749" s="653"/>
      <c r="K749" s="330"/>
      <c r="L749" s="330"/>
      <c r="M749" s="330"/>
      <c r="N749" s="330"/>
      <c r="O749" s="1015"/>
    </row>
    <row r="750" spans="1:15" ht="10" customHeight="1">
      <c r="A750" s="1026"/>
      <c r="B750" s="654" t="str">
        <f>Фундамент!$H$3</f>
        <v>Выберите место застройки!</v>
      </c>
      <c r="C750" s="654"/>
      <c r="D750" s="654"/>
      <c r="E750" s="327"/>
      <c r="F750" s="327"/>
      <c r="G750" s="657" t="str">
        <f>Фундамент!H7</f>
        <v>Великая Русь</v>
      </c>
      <c r="H750" s="657"/>
      <c r="I750" s="344"/>
      <c r="J750" s="646" t="str">
        <f>Фундамент!H8</f>
        <v>Московская область</v>
      </c>
      <c r="K750" s="646"/>
      <c r="L750" s="646"/>
      <c r="M750" s="646"/>
      <c r="N750" s="646"/>
      <c r="O750" s="1015"/>
    </row>
    <row r="751" spans="1:15" ht="10" customHeight="1">
      <c r="A751" s="1026"/>
      <c r="B751" s="655"/>
      <c r="C751" s="655"/>
      <c r="D751" s="655"/>
      <c r="E751" s="292"/>
      <c r="F751" s="292"/>
      <c r="G751" s="658"/>
      <c r="H751" s="658"/>
      <c r="I751" s="316"/>
      <c r="J751" s="647"/>
      <c r="K751" s="647"/>
      <c r="L751" s="647"/>
      <c r="M751" s="647"/>
      <c r="N751" s="647"/>
      <c r="O751" s="1015"/>
    </row>
    <row r="752" spans="1:15" ht="10" customHeight="1">
      <c r="A752" s="1026"/>
      <c r="B752" s="656"/>
      <c r="C752" s="656"/>
      <c r="D752" s="656"/>
      <c r="E752" s="330"/>
      <c r="F752" s="330"/>
      <c r="G752" s="659"/>
      <c r="H752" s="659"/>
      <c r="I752" s="345"/>
      <c r="J752" s="647"/>
      <c r="K752" s="647"/>
      <c r="L752" s="647"/>
      <c r="M752" s="647"/>
      <c r="N752" s="647"/>
      <c r="O752" s="1015"/>
    </row>
    <row r="753" spans="1:15" ht="10" customHeight="1">
      <c r="A753" s="1026"/>
      <c r="B753" s="660" t="s">
        <v>864</v>
      </c>
      <c r="C753" s="660"/>
      <c r="D753" s="660"/>
      <c r="E753" s="663" t="s">
        <v>863</v>
      </c>
      <c r="F753" s="663"/>
      <c r="G753" s="663"/>
      <c r="H753" s="332"/>
      <c r="I753" s="328"/>
      <c r="J753" s="647"/>
      <c r="K753" s="647"/>
      <c r="L753" s="647"/>
      <c r="M753" s="647"/>
      <c r="N753" s="647"/>
      <c r="O753" s="1015"/>
    </row>
    <row r="754" spans="1:15" ht="10" customHeight="1">
      <c r="A754" s="1026"/>
      <c r="B754" s="661"/>
      <c r="C754" s="661"/>
      <c r="D754" s="661"/>
      <c r="E754" s="664"/>
      <c r="F754" s="664"/>
      <c r="G754" s="664"/>
      <c r="H754" s="333"/>
      <c r="I754" s="329"/>
      <c r="J754" s="647"/>
      <c r="K754" s="647"/>
      <c r="L754" s="647"/>
      <c r="M754" s="647"/>
      <c r="N754" s="647"/>
      <c r="O754" s="1015"/>
    </row>
    <row r="755" spans="1:15" ht="10" customHeight="1">
      <c r="A755" s="1026"/>
      <c r="B755" s="662"/>
      <c r="C755" s="662"/>
      <c r="D755" s="662"/>
      <c r="E755" s="665"/>
      <c r="F755" s="665"/>
      <c r="G755" s="665"/>
      <c r="H755" s="334"/>
      <c r="I755" s="331"/>
      <c r="J755" s="648" t="str">
        <f>Фундамент!F9&amp;" "&amp;Фундамент!H9</f>
        <v>город Москва</v>
      </c>
      <c r="K755" s="649"/>
      <c r="L755" s="649"/>
      <c r="M755" s="649"/>
      <c r="N755" s="649"/>
      <c r="O755" s="1015"/>
    </row>
    <row r="756" spans="1:15" s="303" customFormat="1" ht="10" customHeight="1">
      <c r="A756" s="1026"/>
      <c r="B756" s="654" t="s">
        <v>2874</v>
      </c>
      <c r="C756" s="654"/>
      <c r="D756" s="654"/>
      <c r="E756" s="654"/>
      <c r="F756" s="335"/>
      <c r="G756" s="335"/>
      <c r="H756" s="335"/>
      <c r="I756" s="336"/>
      <c r="J756" s="648"/>
      <c r="K756" s="649"/>
      <c r="L756" s="649"/>
      <c r="M756" s="649"/>
      <c r="N756" s="649"/>
      <c r="O756" s="1015"/>
    </row>
    <row r="757" spans="1:15" s="303" customFormat="1" ht="17.5" customHeight="1">
      <c r="A757" s="1035"/>
      <c r="B757" s="656"/>
      <c r="C757" s="656"/>
      <c r="D757" s="656"/>
      <c r="E757" s="656"/>
      <c r="F757" s="337"/>
      <c r="G757" s="337"/>
      <c r="H757" s="337"/>
      <c r="I757" s="338"/>
      <c r="J757" s="650"/>
      <c r="K757" s="651"/>
      <c r="L757" s="651"/>
      <c r="M757" s="651"/>
      <c r="N757" s="651"/>
      <c r="O757" s="1015"/>
    </row>
    <row r="758" spans="1:15" s="303" customFormat="1" ht="10" customHeight="1">
      <c r="A758" s="1026"/>
      <c r="B758" s="669" t="s">
        <v>2876</v>
      </c>
      <c r="C758" s="669"/>
      <c r="D758" s="669"/>
      <c r="E758" s="339"/>
      <c r="F758" s="643" t="s">
        <v>2877</v>
      </c>
      <c r="G758" s="643"/>
      <c r="H758" s="643"/>
      <c r="I758" s="643"/>
      <c r="J758" s="340"/>
      <c r="K758" s="643" t="s">
        <v>862</v>
      </c>
      <c r="L758" s="643"/>
      <c r="M758" s="643"/>
      <c r="N758" s="343"/>
      <c r="O758" s="1018"/>
    </row>
    <row r="759" spans="1:15" ht="19" customHeight="1">
      <c r="A759" s="1026"/>
      <c r="B759" s="670"/>
      <c r="C759" s="670"/>
      <c r="D759" s="670"/>
      <c r="E759" s="307">
        <v>100</v>
      </c>
      <c r="F759" s="644"/>
      <c r="G759" s="644"/>
      <c r="H759" s="644"/>
      <c r="I759" s="644"/>
      <c r="J759" s="307">
        <v>300</v>
      </c>
      <c r="K759" s="644"/>
      <c r="L759" s="644"/>
      <c r="M759" s="644"/>
      <c r="N759" s="307">
        <v>15</v>
      </c>
      <c r="O759" s="1018"/>
    </row>
    <row r="760" spans="1:15" ht="14.5" customHeight="1">
      <c r="A760" s="1026"/>
      <c r="B760" s="670"/>
      <c r="C760" s="670"/>
      <c r="D760" s="670"/>
      <c r="E760" s="346"/>
      <c r="F760" s="644"/>
      <c r="G760" s="644"/>
      <c r="H760" s="644"/>
      <c r="I760" s="644"/>
      <c r="J760" s="341"/>
      <c r="K760" s="645"/>
      <c r="L760" s="645"/>
      <c r="M760" s="645"/>
      <c r="N760" s="342"/>
      <c r="O760" s="1018"/>
    </row>
    <row r="761" spans="1:15" s="309" customFormat="1" ht="14.5" customHeight="1">
      <c r="A761" s="1026"/>
      <c r="J761" s="348"/>
      <c r="K761" s="347"/>
      <c r="L761" s="347"/>
      <c r="M761" s="347"/>
      <c r="N761" s="349"/>
      <c r="O761" s="1018"/>
    </row>
    <row r="762" spans="1:15" ht="14.5" customHeight="1">
      <c r="A762" s="1026"/>
      <c r="L762" s="153"/>
      <c r="M762" s="153"/>
      <c r="N762" s="153"/>
      <c r="O762" s="1015"/>
    </row>
    <row r="763" spans="1:15" ht="10.5" customHeight="1">
      <c r="A763" s="1026"/>
      <c r="M763" s="304"/>
      <c r="N763" s="153"/>
      <c r="O763" s="1015"/>
    </row>
    <row r="764" spans="1:15" ht="13" customHeight="1">
      <c r="A764" s="1026"/>
      <c r="M764" s="304"/>
      <c r="N764" s="153"/>
      <c r="O764" s="1015"/>
    </row>
    <row r="765" spans="1:15" ht="13" customHeight="1">
      <c r="A765" s="1026"/>
      <c r="J765" s="315"/>
      <c r="L765" s="153"/>
      <c r="M765" s="153"/>
      <c r="N765" s="153"/>
      <c r="O765" s="1015"/>
    </row>
    <row r="766" spans="1:15" ht="13" customHeight="1">
      <c r="A766" s="1026"/>
      <c r="J766" s="315"/>
      <c r="M766" s="153"/>
      <c r="N766" s="153"/>
      <c r="O766" s="1015"/>
    </row>
    <row r="767" spans="1:15" ht="13" customHeight="1">
      <c r="A767" s="1026"/>
      <c r="J767" s="315"/>
      <c r="M767" s="153"/>
      <c r="N767" s="153"/>
      <c r="O767" s="1015"/>
    </row>
    <row r="768" spans="1:15" ht="13" customHeight="1">
      <c r="A768" s="1026"/>
      <c r="J768" s="315"/>
      <c r="M768" s="153"/>
      <c r="N768" s="153"/>
      <c r="O768" s="1015"/>
    </row>
    <row r="769" spans="1:15" ht="13" customHeight="1">
      <c r="A769" s="1026"/>
      <c r="G769" s="673" t="str">
        <f>"Болт М12х"&amp;G22+20&amp;"мм"</f>
        <v>Болт М12х70мм</v>
      </c>
      <c r="H769" s="673"/>
      <c r="I769" s="673"/>
      <c r="J769" s="671">
        <f>J772</f>
        <v>200</v>
      </c>
      <c r="L769" s="153"/>
      <c r="M769" s="153"/>
      <c r="N769" s="153"/>
      <c r="O769" s="1015"/>
    </row>
    <row r="770" spans="1:15" ht="13" customHeight="1">
      <c r="A770" s="1026"/>
      <c r="G770" s="673" t="s">
        <v>2890</v>
      </c>
      <c r="H770" s="673"/>
      <c r="I770" s="673"/>
      <c r="J770" s="671"/>
      <c r="L770" s="153"/>
      <c r="N770" s="153"/>
      <c r="O770" s="1015"/>
    </row>
    <row r="771" spans="1:15" ht="13" customHeight="1">
      <c r="A771" s="1026"/>
      <c r="I771" s="305"/>
      <c r="J771" s="310"/>
      <c r="L771" s="153"/>
      <c r="N771" s="153"/>
      <c r="O771" s="1015"/>
    </row>
    <row r="772" spans="1:15" ht="13" customHeight="1">
      <c r="A772" s="1026"/>
      <c r="I772" s="305"/>
      <c r="J772" s="671">
        <f>E22</f>
        <v>200</v>
      </c>
      <c r="L772" s="153"/>
      <c r="M772" s="153"/>
      <c r="N772" s="153"/>
      <c r="O772" s="1015"/>
    </row>
    <row r="773" spans="1:15" ht="13" customHeight="1">
      <c r="A773" s="1026"/>
      <c r="J773" s="671"/>
      <c r="L773" s="153"/>
      <c r="M773" s="153"/>
      <c r="N773" s="153"/>
      <c r="O773" s="1017"/>
    </row>
    <row r="774" spans="1:15" ht="13" customHeight="1">
      <c r="A774" s="1026"/>
      <c r="G774" s="673" t="s">
        <v>2879</v>
      </c>
      <c r="H774" s="673"/>
      <c r="I774" s="673"/>
      <c r="J774" s="671"/>
      <c r="L774" s="153"/>
      <c r="M774" s="153"/>
      <c r="O774" s="1015"/>
    </row>
    <row r="775" spans="1:15" ht="13" customHeight="1">
      <c r="A775" s="1026"/>
      <c r="J775" s="671">
        <v>200</v>
      </c>
      <c r="L775" s="668">
        <f>VLOOKUP('фундамент закулисье'!K30,'фундамент закулисье'!L30:M32,2)</f>
        <v>250</v>
      </c>
      <c r="M775" s="668"/>
      <c r="O775" s="1015"/>
    </row>
    <row r="776" spans="1:15" ht="13" customHeight="1">
      <c r="A776" s="1026"/>
      <c r="J776" s="671"/>
      <c r="K776" s="298"/>
      <c r="L776" s="668"/>
      <c r="M776" s="668"/>
      <c r="N776" s="153"/>
      <c r="O776" s="1015"/>
    </row>
    <row r="777" spans="1:15" ht="13" customHeight="1">
      <c r="A777" s="1026"/>
      <c r="J777" s="671"/>
      <c r="K777" s="299"/>
      <c r="N777" s="153"/>
      <c r="O777" s="1015"/>
    </row>
    <row r="778" spans="1:15" ht="13" customHeight="1">
      <c r="A778" s="1026"/>
      <c r="G778" s="673" t="s">
        <v>2879</v>
      </c>
      <c r="H778" s="673"/>
      <c r="I778" s="673"/>
      <c r="J778" s="672">
        <f>E759</f>
        <v>100</v>
      </c>
      <c r="K778" s="300"/>
      <c r="N778" s="153"/>
      <c r="O778" s="1015"/>
    </row>
    <row r="779" spans="1:15" ht="13" customHeight="1">
      <c r="A779" s="1026"/>
      <c r="G779" s="673" t="str">
        <f>IF(E22&gt;=250,"Оголовок для винтовой сваи 300х300 мм",IF(E22&gt;150,"Оголовок для винтовой сваи 250х250 мм","Оголовок для винтовой сваи 200х200 мм"))</f>
        <v>Оголовок для винтовой сваи 250х250 мм</v>
      </c>
      <c r="H779" s="673"/>
      <c r="I779" s="673"/>
      <c r="J779" s="672"/>
      <c r="K779" s="300"/>
      <c r="L779" s="153"/>
      <c r="M779" s="153"/>
      <c r="N779" s="153"/>
      <c r="O779" s="1015"/>
    </row>
    <row r="780" spans="1:15" ht="13" customHeight="1">
      <c r="A780" s="1026"/>
      <c r="J780" s="314"/>
      <c r="K780" s="300"/>
      <c r="L780" s="153"/>
      <c r="M780" s="696" t="str">
        <f>'фундамент закулисье'!S24</f>
        <v>108х6</v>
      </c>
      <c r="N780" s="696"/>
      <c r="O780" s="1015"/>
    </row>
    <row r="781" spans="1:15" ht="13" customHeight="1">
      <c r="A781" s="1026"/>
      <c r="J781" s="311"/>
      <c r="K781" s="299"/>
      <c r="L781" s="153"/>
      <c r="N781" s="697">
        <f>'фундамент закулисье'!K37</f>
        <v>10</v>
      </c>
      <c r="O781" s="1015"/>
    </row>
    <row r="782" spans="1:15" ht="13" customHeight="1">
      <c r="A782" s="1026"/>
      <c r="J782" s="311"/>
      <c r="K782" s="299"/>
      <c r="L782" s="153"/>
      <c r="N782" s="697"/>
      <c r="O782" s="1015"/>
    </row>
    <row r="783" spans="1:15" ht="12" customHeight="1">
      <c r="A783" s="1026"/>
      <c r="J783" s="311"/>
      <c r="K783" s="4"/>
      <c r="L783" s="153"/>
      <c r="N783" s="667">
        <f>'фундамент закулисье'!K25</f>
        <v>8</v>
      </c>
      <c r="O783" s="1015"/>
    </row>
    <row r="784" spans="1:15" ht="11.5" customHeight="1">
      <c r="A784" s="1026"/>
      <c r="G784" s="673" t="str">
        <f>"Труба ф"&amp;'фундамент закулисье'!S24&amp;" мм"</f>
        <v>Труба ф108х6 мм</v>
      </c>
      <c r="H784" s="673"/>
      <c r="I784" s="673"/>
      <c r="J784" s="311"/>
      <c r="L784" s="153"/>
      <c r="N784" s="667"/>
      <c r="O784" s="1015"/>
    </row>
    <row r="785" spans="1:15" ht="13" customHeight="1">
      <c r="A785" s="1026"/>
      <c r="I785" s="305"/>
      <c r="J785" s="312"/>
      <c r="K785" s="153"/>
      <c r="L785" s="153"/>
      <c r="M785" s="153"/>
      <c r="N785" s="153"/>
      <c r="O785" s="1015"/>
    </row>
    <row r="786" spans="1:15" ht="13" customHeight="1">
      <c r="A786" s="1026"/>
      <c r="I786" s="305"/>
      <c r="J786" s="312"/>
      <c r="K786" s="153"/>
      <c r="L786" s="153"/>
      <c r="M786" s="153"/>
      <c r="N786" s="153"/>
      <c r="O786" s="1015"/>
    </row>
    <row r="787" spans="1:15" ht="13" customHeight="1">
      <c r="A787" s="1026"/>
      <c r="I787" s="305"/>
      <c r="J787" s="313"/>
      <c r="K787" s="153"/>
      <c r="L787" s="153"/>
      <c r="M787" s="153"/>
      <c r="N787" s="153"/>
      <c r="O787" s="1015"/>
    </row>
    <row r="788" spans="1:15" ht="13" customHeight="1">
      <c r="A788" s="1026"/>
      <c r="B788" s="681" t="s">
        <v>2903</v>
      </c>
      <c r="C788" s="681"/>
      <c r="D788" s="681"/>
      <c r="E788" s="681"/>
      <c r="F788" s="681"/>
      <c r="G788" s="681"/>
      <c r="H788" s="681"/>
      <c r="I788" s="681"/>
      <c r="J788" s="313"/>
      <c r="K788" s="153"/>
      <c r="L788" s="153"/>
      <c r="M788" s="153"/>
      <c r="N788" s="153"/>
      <c r="O788" s="1015"/>
    </row>
    <row r="789" spans="1:15" ht="13" customHeight="1">
      <c r="A789" s="1026"/>
      <c r="B789" s="681"/>
      <c r="C789" s="681"/>
      <c r="D789" s="681"/>
      <c r="E789" s="681"/>
      <c r="F789" s="681"/>
      <c r="G789" s="681"/>
      <c r="H789" s="681"/>
      <c r="I789" s="681"/>
      <c r="J789" s="313"/>
      <c r="K789" s="153"/>
      <c r="L789" s="153"/>
      <c r="M789" s="153"/>
      <c r="N789" s="153"/>
      <c r="O789" s="1015"/>
    </row>
    <row r="790" spans="1:15" ht="13" customHeight="1">
      <c r="A790" s="1026"/>
      <c r="B790" s="681"/>
      <c r="C790" s="681"/>
      <c r="D790" s="681"/>
      <c r="E790" s="681"/>
      <c r="F790" s="681"/>
      <c r="G790" s="681"/>
      <c r="H790" s="681"/>
      <c r="I790" s="681"/>
      <c r="J790" s="313"/>
      <c r="K790" s="153"/>
      <c r="L790" s="153"/>
      <c r="M790" s="153"/>
      <c r="N790" s="153"/>
      <c r="O790" s="1015"/>
    </row>
    <row r="791" spans="1:15" ht="13" customHeight="1">
      <c r="A791" s="1026"/>
      <c r="B791" s="681"/>
      <c r="C791" s="681"/>
      <c r="D791" s="681"/>
      <c r="E791" s="681"/>
      <c r="F791" s="681"/>
      <c r="G791" s="681"/>
      <c r="H791" s="681"/>
      <c r="I791" s="681"/>
      <c r="J791" s="691">
        <f>Фундамент!AC62*1000</f>
        <v>1319.2459967723989</v>
      </c>
      <c r="K791" s="153"/>
      <c r="L791" s="153"/>
      <c r="M791" s="153"/>
      <c r="N791" s="153"/>
      <c r="O791" s="1015"/>
    </row>
    <row r="792" spans="1:15" ht="13" customHeight="1">
      <c r="A792" s="1026"/>
      <c r="B792" s="681" t="s">
        <v>2899</v>
      </c>
      <c r="C792" s="681"/>
      <c r="D792" s="681"/>
      <c r="E792" s="681"/>
      <c r="F792" s="681"/>
      <c r="G792" s="681"/>
      <c r="H792" s="681"/>
      <c r="I792" s="681"/>
      <c r="J792" s="691"/>
      <c r="K792" s="153"/>
      <c r="L792" s="153"/>
      <c r="M792" s="153"/>
      <c r="N792" s="153"/>
      <c r="O792" s="1015"/>
    </row>
    <row r="793" spans="1:15" ht="13" customHeight="1">
      <c r="A793" s="1026"/>
      <c r="B793" s="681"/>
      <c r="C793" s="681"/>
      <c r="D793" s="681"/>
      <c r="E793" s="681"/>
      <c r="F793" s="681"/>
      <c r="G793" s="681"/>
      <c r="H793" s="681"/>
      <c r="I793" s="681"/>
      <c r="J793" s="153"/>
      <c r="K793" s="153"/>
      <c r="L793" s="153"/>
      <c r="M793" s="153"/>
      <c r="N793" s="153"/>
      <c r="O793" s="1015"/>
    </row>
    <row r="794" spans="1:15" ht="13" customHeight="1">
      <c r="A794" s="1026"/>
      <c r="B794" s="681"/>
      <c r="C794" s="681"/>
      <c r="D794" s="681"/>
      <c r="E794" s="681"/>
      <c r="F794" s="681"/>
      <c r="G794" s="681"/>
      <c r="H794" s="681"/>
      <c r="I794" s="681"/>
      <c r="K794" s="153"/>
      <c r="L794" s="153"/>
      <c r="M794" s="153"/>
      <c r="N794" s="153"/>
      <c r="O794" s="1015"/>
    </row>
    <row r="795" spans="1:15" ht="13" customHeight="1">
      <c r="A795" s="1026"/>
      <c r="B795" s="681" t="s">
        <v>2900</v>
      </c>
      <c r="C795" s="681"/>
      <c r="D795" s="681"/>
      <c r="E795" s="681"/>
      <c r="F795" s="681"/>
      <c r="G795" s="681"/>
      <c r="H795" s="681"/>
      <c r="I795" s="681"/>
      <c r="M795" s="153"/>
      <c r="N795" s="153"/>
      <c r="O795" s="1015"/>
    </row>
    <row r="796" spans="1:15" ht="13" customHeight="1">
      <c r="A796" s="1026"/>
      <c r="B796" s="681"/>
      <c r="C796" s="681"/>
      <c r="D796" s="681"/>
      <c r="E796" s="681"/>
      <c r="F796" s="681"/>
      <c r="G796" s="681"/>
      <c r="H796" s="681"/>
      <c r="I796" s="681"/>
      <c r="J796" s="153"/>
      <c r="M796" s="153"/>
      <c r="N796" s="153"/>
      <c r="O796" s="1015"/>
    </row>
    <row r="797" spans="1:15" ht="13" customHeight="1">
      <c r="A797" s="1026"/>
      <c r="B797" s="681"/>
      <c r="C797" s="681"/>
      <c r="D797" s="681"/>
      <c r="E797" s="681"/>
      <c r="F797" s="681"/>
      <c r="G797" s="681"/>
      <c r="H797" s="681"/>
      <c r="I797" s="681"/>
      <c r="J797" s="153"/>
      <c r="M797" s="153"/>
      <c r="N797" s="153"/>
      <c r="O797" s="1015"/>
    </row>
    <row r="798" spans="1:15" ht="13" customHeight="1">
      <c r="A798" s="1026"/>
      <c r="B798" s="681"/>
      <c r="C798" s="681"/>
      <c r="D798" s="681"/>
      <c r="E798" s="681"/>
      <c r="F798" s="681"/>
      <c r="G798" s="681"/>
      <c r="H798" s="681"/>
      <c r="I798" s="681"/>
      <c r="J798" s="153"/>
      <c r="K798" s="153"/>
      <c r="L798" s="153"/>
      <c r="M798" s="153"/>
      <c r="N798" s="153"/>
      <c r="O798" s="1015"/>
    </row>
    <row r="799" spans="1:15" ht="13" customHeight="1">
      <c r="A799" s="1026"/>
      <c r="B799" s="681" t="s">
        <v>2901</v>
      </c>
      <c r="C799" s="681"/>
      <c r="D799" s="681"/>
      <c r="E799" s="681"/>
      <c r="F799" s="681"/>
      <c r="G799" s="681"/>
      <c r="H799" s="681"/>
      <c r="I799" s="681"/>
      <c r="J799" s="153"/>
      <c r="K799" s="153"/>
      <c r="L799" s="153"/>
      <c r="M799" s="153"/>
      <c r="N799" s="153"/>
      <c r="O799" s="1015"/>
    </row>
    <row r="800" spans="1:15" ht="13" customHeight="1">
      <c r="A800" s="1026"/>
      <c r="B800" s="681"/>
      <c r="C800" s="681"/>
      <c r="D800" s="681"/>
      <c r="E800" s="681"/>
      <c r="F800" s="681"/>
      <c r="G800" s="681"/>
      <c r="H800" s="681"/>
      <c r="I800" s="681"/>
      <c r="J800" s="153"/>
      <c r="L800" s="153"/>
      <c r="M800" s="153"/>
      <c r="N800" s="153"/>
      <c r="O800" s="1015"/>
    </row>
    <row r="801" spans="1:15" ht="13" customHeight="1">
      <c r="A801" s="1026"/>
      <c r="B801" s="681"/>
      <c r="C801" s="681"/>
      <c r="D801" s="681"/>
      <c r="E801" s="681"/>
      <c r="F801" s="681"/>
      <c r="G801" s="681"/>
      <c r="H801" s="681"/>
      <c r="I801" s="681"/>
      <c r="J801" s="153"/>
      <c r="K801" s="153"/>
      <c r="L801" s="153"/>
      <c r="M801" s="153"/>
      <c r="N801" s="153"/>
      <c r="O801" s="1015"/>
    </row>
    <row r="802" spans="1:15" ht="13.5" customHeight="1">
      <c r="A802" s="1026"/>
      <c r="B802" s="681" t="s">
        <v>2902</v>
      </c>
      <c r="C802" s="681"/>
      <c r="D802" s="681"/>
      <c r="E802" s="681"/>
      <c r="F802" s="681"/>
      <c r="G802" s="681"/>
      <c r="H802" s="681"/>
      <c r="I802" s="681"/>
      <c r="J802" s="153"/>
      <c r="K802" s="153"/>
      <c r="L802" s="153"/>
      <c r="M802" s="153"/>
      <c r="N802" s="153"/>
      <c r="O802" s="1015"/>
    </row>
    <row r="803" spans="1:15" ht="13.5" customHeight="1">
      <c r="A803" s="1026"/>
      <c r="B803" s="681"/>
      <c r="C803" s="681"/>
      <c r="D803" s="681"/>
      <c r="E803" s="681"/>
      <c r="F803" s="681"/>
      <c r="G803" s="681"/>
      <c r="H803" s="681"/>
      <c r="I803" s="681"/>
      <c r="J803" s="153"/>
      <c r="K803" s="153"/>
      <c r="L803" s="153"/>
      <c r="M803" s="153"/>
      <c r="N803" s="153"/>
      <c r="O803" s="1015"/>
    </row>
    <row r="804" spans="1:15" ht="13.5" customHeight="1">
      <c r="A804" s="1026"/>
      <c r="B804" s="681"/>
      <c r="C804" s="681"/>
      <c r="D804" s="681"/>
      <c r="E804" s="681"/>
      <c r="F804" s="681"/>
      <c r="G804" s="681"/>
      <c r="H804" s="681"/>
      <c r="I804" s="681"/>
      <c r="J804" s="153"/>
      <c r="K804" s="153"/>
      <c r="L804" s="153"/>
      <c r="M804" s="153"/>
      <c r="N804" s="153"/>
      <c r="O804" s="1015"/>
    </row>
    <row r="805" spans="1:15" ht="13.5" customHeight="1">
      <c r="A805" s="1026"/>
      <c r="B805" s="681"/>
      <c r="C805" s="681"/>
      <c r="D805" s="681"/>
      <c r="E805" s="681"/>
      <c r="F805" s="681"/>
      <c r="G805" s="681"/>
      <c r="H805" s="681"/>
      <c r="I805" s="681"/>
      <c r="J805" s="153"/>
      <c r="K805" s="692">
        <f>VLOOKUP('фундамент закулисье'!K30,'фундамент закулисье'!L30:O32,4)</f>
        <v>190</v>
      </c>
      <c r="L805" s="692"/>
      <c r="M805" s="153"/>
      <c r="N805" s="153"/>
      <c r="O805" s="1015"/>
    </row>
    <row r="806" spans="1:15" ht="13.5" customHeight="1">
      <c r="A806" s="1026"/>
      <c r="B806" s="681"/>
      <c r="C806" s="681"/>
      <c r="D806" s="681"/>
      <c r="E806" s="681"/>
      <c r="F806" s="681"/>
      <c r="G806" s="681"/>
      <c r="H806" s="681"/>
      <c r="I806" s="681"/>
      <c r="J806" s="153"/>
      <c r="K806" s="692"/>
      <c r="L806" s="692"/>
      <c r="M806" s="153"/>
      <c r="N806" s="153"/>
      <c r="O806" s="1015"/>
    </row>
    <row r="807" spans="1:15" ht="13.5" customHeight="1">
      <c r="A807" s="1026"/>
      <c r="B807" s="681"/>
      <c r="C807" s="681"/>
      <c r="D807" s="681"/>
      <c r="E807" s="681"/>
      <c r="F807" s="681"/>
      <c r="G807" s="681"/>
      <c r="H807" s="681"/>
      <c r="I807" s="681"/>
      <c r="J807" s="153"/>
      <c r="K807" s="698">
        <f>VLOOKUP('фундамент закулисье'!K27,'фундамент закулисье'!L27:M29,2)</f>
        <v>500</v>
      </c>
      <c r="L807" s="698"/>
      <c r="M807" s="153"/>
      <c r="N807" s="153"/>
      <c r="O807" s="1015"/>
    </row>
    <row r="808" spans="1:15" ht="13.5" customHeight="1">
      <c r="A808" s="1026"/>
      <c r="B808" s="153"/>
      <c r="C808" s="153"/>
      <c r="D808" s="153"/>
      <c r="E808" s="153"/>
      <c r="F808" s="153"/>
      <c r="G808" s="153"/>
      <c r="H808" s="153"/>
      <c r="I808" s="153"/>
      <c r="J808" s="153"/>
      <c r="K808" s="849" t="s">
        <v>2936</v>
      </c>
      <c r="L808" s="849"/>
      <c r="M808" s="426"/>
      <c r="N808" s="426"/>
      <c r="O808" s="1015"/>
    </row>
    <row r="809" spans="1:15" ht="13.5" customHeight="1">
      <c r="A809" s="1026"/>
      <c r="B809" s="352"/>
      <c r="C809" s="352"/>
      <c r="D809" s="352"/>
      <c r="E809" s="352"/>
      <c r="F809" s="352"/>
      <c r="G809" s="352"/>
      <c r="H809" s="153"/>
      <c r="I809" s="153"/>
      <c r="J809" s="153"/>
      <c r="K809" s="849"/>
      <c r="L809" s="849"/>
      <c r="M809" s="842">
        <f>((((Заявка!K807/2)/10)*((Заявка!K807/2)/10))*3.14159265358979)*'фундамент закулисье'!D9</f>
        <v>3926.9908169872374</v>
      </c>
      <c r="N809" s="840" t="s">
        <v>91</v>
      </c>
      <c r="O809" s="1015"/>
    </row>
    <row r="810" spans="1:15" s="322" customFormat="1" ht="9.5" customHeight="1">
      <c r="A810" s="1036"/>
      <c r="C810" s="326"/>
      <c r="D810" s="353" t="str">
        <f>G22&amp;"х"&amp;E26</f>
        <v>50х50</v>
      </c>
      <c r="E810" s="354"/>
      <c r="F810" s="354"/>
      <c r="G810" s="354"/>
      <c r="H810" s="318"/>
      <c r="J810" s="317"/>
      <c r="K810" s="850"/>
      <c r="L810" s="850"/>
      <c r="M810" s="843"/>
      <c r="N810" s="841"/>
      <c r="O810" s="1015"/>
    </row>
    <row r="811" spans="1:15" s="322" customFormat="1" ht="9.5" customHeight="1">
      <c r="A811" s="1036"/>
      <c r="C811" s="326"/>
      <c r="D811" s="355" t="str">
        <f>E22&amp;"х"&amp;G22</f>
        <v>200х50</v>
      </c>
      <c r="E811" s="354"/>
      <c r="F811" s="354"/>
      <c r="G811" s="354"/>
      <c r="H811" s="318"/>
      <c r="J811" s="317"/>
      <c r="K811" s="844" t="s">
        <v>2931</v>
      </c>
      <c r="L811" s="845"/>
      <c r="M811" s="847">
        <f>(L1126/15)*1.5</f>
        <v>2040.2364919051261</v>
      </c>
      <c r="N811" s="848" t="s">
        <v>91</v>
      </c>
      <c r="O811" s="1019"/>
    </row>
    <row r="812" spans="1:15" s="322" customFormat="1" ht="9.5" customHeight="1">
      <c r="A812" s="1036"/>
      <c r="C812" s="326"/>
      <c r="D812" s="354"/>
      <c r="E812" s="354"/>
      <c r="F812" s="354"/>
      <c r="G812" s="354"/>
      <c r="H812" s="318"/>
      <c r="J812" s="317"/>
      <c r="K812" s="846"/>
      <c r="L812" s="846"/>
      <c r="M812" s="843"/>
      <c r="N812" s="841"/>
      <c r="O812" s="1019"/>
    </row>
    <row r="813" spans="1:15" s="322" customFormat="1" ht="9.5" customHeight="1">
      <c r="A813" s="1036"/>
      <c r="C813" s="326"/>
      <c r="D813" s="354"/>
      <c r="E813" s="354"/>
      <c r="F813" s="354"/>
      <c r="G813" s="354"/>
      <c r="H813" s="318"/>
      <c r="J813" s="317"/>
      <c r="K813" s="844" t="s">
        <v>2933</v>
      </c>
      <c r="L813" s="845"/>
      <c r="M813" s="847" t="s">
        <v>2934</v>
      </c>
      <c r="N813" s="848" t="s">
        <v>91</v>
      </c>
      <c r="O813" s="1019"/>
    </row>
    <row r="814" spans="1:15" s="322" customFormat="1" ht="9.5" customHeight="1">
      <c r="A814" s="1036"/>
      <c r="C814" s="326"/>
      <c r="D814" s="354"/>
      <c r="E814" s="354"/>
      <c r="F814" s="354"/>
      <c r="G814" s="354"/>
      <c r="H814" s="318"/>
      <c r="J814" s="317"/>
      <c r="K814" s="846"/>
      <c r="L814" s="846"/>
      <c r="M814" s="843"/>
      <c r="N814" s="841"/>
      <c r="O814" s="1019"/>
    </row>
    <row r="815" spans="1:15" s="322" customFormat="1" ht="9.5" customHeight="1">
      <c r="A815" s="1036"/>
      <c r="C815" s="326"/>
      <c r="D815" s="354"/>
      <c r="E815" s="354"/>
      <c r="F815" s="354"/>
      <c r="G815" s="354"/>
      <c r="H815" s="318"/>
      <c r="J815" s="317"/>
      <c r="K815" s="844" t="s">
        <v>2935</v>
      </c>
      <c r="L815" s="845"/>
      <c r="M815" s="847" t="s">
        <v>2934</v>
      </c>
      <c r="N815" s="848" t="s">
        <v>91</v>
      </c>
      <c r="O815" s="1019"/>
    </row>
    <row r="816" spans="1:15" s="322" customFormat="1" ht="9.5" customHeight="1">
      <c r="A816" s="1036"/>
      <c r="C816" s="326"/>
      <c r="D816" s="354"/>
      <c r="E816" s="354"/>
      <c r="F816" s="356">
        <f>G31</f>
        <v>20</v>
      </c>
      <c r="G816" s="354"/>
      <c r="H816" s="318"/>
      <c r="J816" s="317"/>
      <c r="K816" s="846"/>
      <c r="L816" s="846"/>
      <c r="M816" s="843"/>
      <c r="N816" s="841"/>
      <c r="O816" s="1019"/>
    </row>
    <row r="817" spans="1:15" s="322" customFormat="1" ht="9.5" customHeight="1">
      <c r="A817" s="1036"/>
      <c r="C817" s="326"/>
      <c r="D817" s="354"/>
      <c r="E817" s="354"/>
      <c r="F817" s="354"/>
      <c r="G817" s="354"/>
      <c r="H817" s="318"/>
      <c r="J817" s="317"/>
      <c r="K817" s="317"/>
      <c r="L817" s="317"/>
      <c r="M817" s="317"/>
      <c r="N817" s="317"/>
      <c r="O817" s="1019"/>
    </row>
    <row r="818" spans="1:15" s="322" customFormat="1" ht="6" customHeight="1">
      <c r="A818" s="1036"/>
      <c r="C818" s="326"/>
      <c r="D818" s="354"/>
      <c r="E818" s="354"/>
      <c r="F818" s="354"/>
      <c r="G818" s="354"/>
      <c r="H818" s="318"/>
      <c r="J818" s="317"/>
      <c r="K818" s="317"/>
      <c r="L818" s="317"/>
      <c r="M818" s="317"/>
      <c r="N818" s="317"/>
      <c r="O818" s="1019"/>
    </row>
    <row r="819" spans="1:15" s="322" customFormat="1" ht="9.5" customHeight="1">
      <c r="A819" s="1036"/>
      <c r="C819" s="326"/>
      <c r="D819" s="353">
        <f>F59</f>
        <v>15</v>
      </c>
      <c r="E819" s="354"/>
      <c r="F819" s="354"/>
      <c r="G819" s="354"/>
      <c r="H819" s="318"/>
      <c r="J819" s="317"/>
      <c r="K819" s="317"/>
      <c r="L819" s="317"/>
      <c r="M819" s="317"/>
      <c r="N819" s="317"/>
      <c r="O819" s="1019"/>
    </row>
    <row r="820" spans="1:15" s="322" customFormat="1" ht="9.5" customHeight="1">
      <c r="A820" s="1036"/>
      <c r="C820" s="326"/>
      <c r="D820" s="354"/>
      <c r="E820" s="354"/>
      <c r="F820" s="354"/>
      <c r="G820" s="354"/>
      <c r="H820" s="318"/>
      <c r="J820" s="317"/>
      <c r="K820" s="317"/>
      <c r="L820" s="317"/>
      <c r="M820" s="317"/>
      <c r="N820" s="317"/>
      <c r="O820" s="1019"/>
    </row>
    <row r="821" spans="1:15" s="322" customFormat="1" ht="9.5" customHeight="1">
      <c r="A821" s="1036"/>
      <c r="C821" s="326"/>
      <c r="D821" s="354"/>
      <c r="E821" s="354"/>
      <c r="F821" s="354"/>
      <c r="G821" s="354"/>
      <c r="H821" s="318"/>
      <c r="J821" s="317"/>
      <c r="K821" s="317"/>
      <c r="L821" s="317"/>
      <c r="M821" s="317"/>
      <c r="N821" s="317"/>
      <c r="O821" s="1019"/>
    </row>
    <row r="822" spans="1:15" s="322" customFormat="1" ht="9.5" customHeight="1">
      <c r="A822" s="1036"/>
      <c r="C822" s="326"/>
      <c r="D822" s="354"/>
      <c r="E822" s="354"/>
      <c r="F822" s="354"/>
      <c r="G822" s="354"/>
      <c r="H822" s="318"/>
      <c r="J822" s="317"/>
      <c r="K822" s="317"/>
      <c r="L822" s="317"/>
      <c r="M822" s="317"/>
      <c r="N822" s="317"/>
      <c r="O822" s="1019"/>
    </row>
    <row r="823" spans="1:15" s="322" customFormat="1" ht="9.5" customHeight="1">
      <c r="A823" s="1036"/>
      <c r="C823" s="326"/>
      <c r="D823" s="354"/>
      <c r="E823" s="354"/>
      <c r="F823" s="354"/>
      <c r="G823" s="354"/>
      <c r="H823" s="318"/>
      <c r="J823" s="317"/>
      <c r="K823" s="317"/>
      <c r="L823" s="317"/>
      <c r="M823" s="317"/>
      <c r="N823" s="317"/>
      <c r="O823" s="1019"/>
    </row>
    <row r="824" spans="1:15" s="322" customFormat="1" ht="9.5" customHeight="1">
      <c r="A824" s="1036"/>
      <c r="C824" s="326"/>
      <c r="D824" s="354"/>
      <c r="E824" s="354"/>
      <c r="F824" s="354"/>
      <c r="G824" s="354"/>
      <c r="H824" s="318"/>
      <c r="J824" s="317"/>
      <c r="K824" s="317"/>
      <c r="L824" s="317"/>
      <c r="M824" s="317"/>
      <c r="N824" s="317"/>
      <c r="O824" s="1019"/>
    </row>
    <row r="825" spans="1:15" s="322" customFormat="1" ht="9.5" customHeight="1">
      <c r="A825" s="1036"/>
      <c r="C825" s="326"/>
      <c r="D825" s="354"/>
      <c r="E825" s="354"/>
      <c r="F825" s="357"/>
      <c r="G825" s="357"/>
      <c r="H825" s="302"/>
      <c r="I825" s="323"/>
      <c r="J825" s="317"/>
      <c r="K825" s="317"/>
      <c r="L825" s="317"/>
      <c r="M825" s="317"/>
      <c r="N825" s="317"/>
      <c r="O825" s="1019"/>
    </row>
    <row r="826" spans="1:15" s="322" customFormat="1" ht="9.5" customHeight="1">
      <c r="A826" s="1036"/>
      <c r="C826" s="666">
        <f>E40</f>
        <v>50</v>
      </c>
      <c r="D826" s="666"/>
      <c r="E826" s="354"/>
      <c r="F826" s="357"/>
      <c r="G826" s="357"/>
      <c r="H826" s="302"/>
      <c r="I826" s="323"/>
      <c r="J826" s="317"/>
      <c r="K826" s="317"/>
      <c r="L826" s="317"/>
      <c r="M826" s="317"/>
      <c r="N826" s="317"/>
      <c r="O826" s="1019"/>
    </row>
    <row r="827" spans="1:15" s="322" customFormat="1" ht="9.5" customHeight="1">
      <c r="A827" s="1036"/>
      <c r="C827" s="666"/>
      <c r="D827" s="666"/>
      <c r="E827" s="354"/>
      <c r="F827" s="358"/>
      <c r="G827" s="358"/>
      <c r="H827" s="319"/>
      <c r="I827" s="324"/>
      <c r="J827" s="317"/>
      <c r="K827" s="317"/>
      <c r="L827" s="317"/>
      <c r="M827" s="317"/>
      <c r="N827" s="317"/>
      <c r="O827" s="1019"/>
    </row>
    <row r="828" spans="1:15" s="322" customFormat="1" ht="9.5" customHeight="1">
      <c r="A828" s="1036"/>
      <c r="C828" s="326"/>
      <c r="D828" s="354"/>
      <c r="E828" s="354"/>
      <c r="F828" s="359"/>
      <c r="G828" s="359"/>
      <c r="H828" s="320"/>
      <c r="I828" s="325"/>
      <c r="J828" s="317"/>
      <c r="K828" s="317"/>
      <c r="L828" s="317"/>
      <c r="M828" s="317"/>
      <c r="N828" s="317"/>
      <c r="O828" s="1019"/>
    </row>
    <row r="829" spans="1:15" s="322" customFormat="1" ht="9.5" customHeight="1">
      <c r="A829" s="1036"/>
      <c r="C829" s="326"/>
      <c r="D829" s="354"/>
      <c r="E829" s="360"/>
      <c r="F829" s="359"/>
      <c r="G829" s="359"/>
      <c r="H829" s="320"/>
      <c r="I829" s="325"/>
      <c r="J829" s="317"/>
      <c r="K829" s="317"/>
      <c r="L829" s="317"/>
      <c r="M829" s="317"/>
      <c r="N829" s="317"/>
      <c r="O829" s="1019"/>
    </row>
    <row r="830" spans="1:15" s="322" customFormat="1" ht="9.5" customHeight="1">
      <c r="A830" s="1036"/>
      <c r="C830" s="326"/>
      <c r="D830" s="354"/>
      <c r="E830" s="360"/>
      <c r="F830" s="359"/>
      <c r="G830" s="359"/>
      <c r="H830" s="320"/>
      <c r="I830" s="325"/>
      <c r="J830" s="317"/>
      <c r="K830" s="317"/>
      <c r="L830" s="317"/>
      <c r="M830" s="317"/>
      <c r="N830" s="317"/>
      <c r="O830" s="1019"/>
    </row>
    <row r="831" spans="1:15" s="322" customFormat="1" ht="9.5" customHeight="1">
      <c r="A831" s="1036"/>
      <c r="C831" s="326"/>
      <c r="D831" s="354"/>
      <c r="E831" s="360"/>
      <c r="F831" s="358"/>
      <c r="G831" s="358"/>
      <c r="H831" s="319"/>
      <c r="I831" s="324"/>
      <c r="J831" s="317"/>
      <c r="K831" s="317"/>
      <c r="L831" s="317"/>
      <c r="M831" s="317"/>
      <c r="N831" s="317"/>
      <c r="O831" s="1019"/>
    </row>
    <row r="832" spans="1:15" s="322" customFormat="1" ht="9.5" customHeight="1">
      <c r="A832" s="1036"/>
      <c r="C832" s="326"/>
      <c r="D832" s="354"/>
      <c r="E832" s="360"/>
      <c r="F832" s="358"/>
      <c r="G832" s="358"/>
      <c r="H832" s="319"/>
      <c r="I832" s="324"/>
      <c r="J832" s="317"/>
      <c r="K832" s="317"/>
      <c r="L832" s="317"/>
      <c r="M832" s="317"/>
      <c r="N832" s="317"/>
      <c r="O832" s="1019"/>
    </row>
    <row r="833" spans="1:15" s="322" customFormat="1" ht="9.5" customHeight="1">
      <c r="A833" s="1036"/>
      <c r="B833" s="361"/>
      <c r="C833" s="361"/>
      <c r="D833" s="361"/>
      <c r="E833" s="361"/>
      <c r="F833" s="361"/>
      <c r="G833" s="361"/>
      <c r="H833" s="317"/>
      <c r="I833" s="317"/>
      <c r="J833" s="317"/>
      <c r="K833" s="317"/>
      <c r="L833" s="317"/>
      <c r="M833" s="317"/>
      <c r="N833" s="317"/>
      <c r="O833" s="1019"/>
    </row>
    <row r="834" spans="1:15" s="322" customFormat="1" ht="9.5" customHeight="1">
      <c r="A834" s="1036"/>
      <c r="B834" s="361"/>
      <c r="C834" s="361"/>
      <c r="D834" s="361"/>
      <c r="E834" s="361"/>
      <c r="F834" s="361"/>
      <c r="G834" s="361"/>
      <c r="H834" s="317"/>
      <c r="I834" s="317"/>
      <c r="J834" s="317"/>
      <c r="K834" s="317"/>
      <c r="L834" s="317"/>
      <c r="M834" s="317"/>
      <c r="N834" s="317"/>
      <c r="O834" s="1019"/>
    </row>
    <row r="835" spans="1:15" s="322" customFormat="1" ht="9.5" customHeight="1">
      <c r="A835" s="1036"/>
      <c r="B835" s="361"/>
      <c r="C835" s="361"/>
      <c r="D835" s="361"/>
      <c r="E835" s="361"/>
      <c r="F835" s="361"/>
      <c r="G835" s="361"/>
      <c r="H835" s="317"/>
      <c r="I835" s="317"/>
      <c r="J835" s="317"/>
      <c r="K835" s="317"/>
      <c r="L835" s="317"/>
      <c r="M835" s="317"/>
      <c r="N835" s="317"/>
      <c r="O835" s="1019"/>
    </row>
    <row r="836" spans="1:15" s="322" customFormat="1" ht="9.5" customHeight="1">
      <c r="A836" s="1036"/>
      <c r="B836" s="361"/>
      <c r="C836" s="361"/>
      <c r="D836" s="362">
        <f>40+E40</f>
        <v>90</v>
      </c>
      <c r="E836" s="361"/>
      <c r="F836" s="361"/>
      <c r="G836" s="361"/>
      <c r="H836" s="317"/>
      <c r="I836" s="317"/>
      <c r="J836" s="317"/>
      <c r="K836" s="317"/>
      <c r="L836" s="317"/>
      <c r="M836" s="317"/>
      <c r="N836" s="317"/>
      <c r="O836" s="1019"/>
    </row>
    <row r="837" spans="1:15" s="322" customFormat="1" ht="9.5" customHeight="1">
      <c r="A837" s="1036"/>
      <c r="B837" s="361"/>
      <c r="C837" s="361"/>
      <c r="D837" s="363">
        <f>40+F59</f>
        <v>55</v>
      </c>
      <c r="E837" s="361"/>
      <c r="F837" s="361"/>
      <c r="G837" s="361"/>
      <c r="H837" s="317"/>
      <c r="I837" s="317"/>
      <c r="J837" s="317"/>
      <c r="K837" s="317"/>
      <c r="L837" s="317"/>
      <c r="M837" s="317"/>
      <c r="N837" s="317"/>
      <c r="O837" s="1019"/>
    </row>
    <row r="838" spans="1:15" s="322" customFormat="1" ht="9.5" customHeight="1">
      <c r="A838" s="1036"/>
      <c r="B838" s="361"/>
      <c r="C838" s="361"/>
      <c r="D838" s="364"/>
      <c r="E838" s="361"/>
      <c r="F838" s="361"/>
      <c r="G838" s="361"/>
      <c r="H838" s="317"/>
      <c r="I838" s="317"/>
      <c r="J838" s="317"/>
      <c r="K838" s="317"/>
      <c r="L838" s="317"/>
      <c r="M838" s="317"/>
      <c r="N838" s="317"/>
      <c r="O838" s="1019"/>
    </row>
    <row r="839" spans="1:15" s="322" customFormat="1" ht="9.5" customHeight="1">
      <c r="A839" s="1036"/>
      <c r="B839" s="361"/>
      <c r="C839" s="361"/>
      <c r="D839" s="361"/>
      <c r="E839" s="361"/>
      <c r="F839" s="361"/>
      <c r="G839" s="361"/>
      <c r="H839" s="317"/>
      <c r="I839" s="317"/>
      <c r="J839" s="317"/>
      <c r="K839" s="317"/>
      <c r="L839" s="317"/>
      <c r="M839" s="317"/>
      <c r="N839" s="317"/>
      <c r="O839" s="1019"/>
    </row>
    <row r="840" spans="1:15" s="322" customFormat="1" ht="9.5" customHeight="1">
      <c r="A840" s="1036"/>
      <c r="B840" s="361"/>
      <c r="C840" s="361"/>
      <c r="D840" s="361"/>
      <c r="E840" s="361"/>
      <c r="F840" s="361"/>
      <c r="G840" s="361"/>
      <c r="H840" s="317"/>
      <c r="I840" s="317"/>
      <c r="J840" s="317"/>
      <c r="K840" s="317"/>
      <c r="L840" s="317"/>
      <c r="M840" s="317"/>
      <c r="N840" s="317"/>
      <c r="O840" s="1019"/>
    </row>
    <row r="841" spans="1:15" s="322" customFormat="1" ht="9.5" customHeight="1">
      <c r="A841" s="1036"/>
      <c r="B841" s="361"/>
      <c r="C841" s="361"/>
      <c r="D841" s="361"/>
      <c r="E841" s="361"/>
      <c r="F841" s="361"/>
      <c r="G841" s="361"/>
      <c r="H841" s="317"/>
      <c r="I841" s="317"/>
      <c r="J841" s="317"/>
      <c r="K841" s="317"/>
      <c r="L841" s="317"/>
      <c r="M841" s="317"/>
      <c r="N841" s="317"/>
      <c r="O841" s="1019"/>
    </row>
    <row r="842" spans="1:15" s="322" customFormat="1" ht="9.5" customHeight="1">
      <c r="A842" s="1036"/>
      <c r="B842" s="361"/>
      <c r="C842" s="361"/>
      <c r="D842" s="693" t="str">
        <f>IF(E22&gt;=250,"300х300 мм",IF(E22&gt;150,"250х250 мм","200х200 мм"))</f>
        <v>250х250 мм</v>
      </c>
      <c r="E842" s="361"/>
      <c r="F842" s="361"/>
      <c r="G842" s="361"/>
      <c r="H842" s="317"/>
      <c r="I842" s="317"/>
      <c r="J842" s="317"/>
      <c r="K842" s="317"/>
      <c r="L842" s="317"/>
      <c r="M842" s="317"/>
      <c r="N842" s="317"/>
      <c r="O842" s="1019"/>
    </row>
    <row r="843" spans="1:15" s="322" customFormat="1" ht="9.5" customHeight="1">
      <c r="A843" s="1036"/>
      <c r="B843" s="361"/>
      <c r="C843" s="361"/>
      <c r="D843" s="693"/>
      <c r="E843" s="361"/>
      <c r="F843" s="361"/>
      <c r="G843" s="361"/>
      <c r="H843" s="317"/>
      <c r="I843" s="317"/>
      <c r="J843" s="317"/>
      <c r="K843" s="317"/>
      <c r="L843" s="317"/>
      <c r="M843" s="317"/>
      <c r="N843" s="317"/>
      <c r="O843" s="1019"/>
    </row>
    <row r="844" spans="1:15" s="322" customFormat="1" ht="9.5" customHeight="1">
      <c r="A844" s="1036"/>
      <c r="B844" s="361"/>
      <c r="C844" s="361"/>
      <c r="D844" s="361"/>
      <c r="E844" s="361"/>
      <c r="F844" s="361"/>
      <c r="G844" s="361"/>
      <c r="H844" s="317"/>
      <c r="I844" s="317"/>
      <c r="J844" s="317"/>
      <c r="K844" s="317"/>
      <c r="L844" s="317"/>
      <c r="M844" s="317"/>
      <c r="N844" s="317"/>
      <c r="O844" s="1019"/>
    </row>
    <row r="845" spans="1:15" s="322" customFormat="1" ht="9.5" customHeight="1">
      <c r="A845" s="1036"/>
      <c r="B845" s="361"/>
      <c r="D845" s="436" t="str">
        <f>'фундамент закулисье'!S24</f>
        <v>108х6</v>
      </c>
      <c r="E845" s="361"/>
      <c r="F845" s="361"/>
      <c r="G845" s="361"/>
      <c r="H845" s="317"/>
      <c r="I845" s="317"/>
      <c r="J845" s="317"/>
      <c r="K845" s="317"/>
      <c r="L845" s="317"/>
      <c r="M845" s="317"/>
      <c r="N845" s="317"/>
      <c r="O845" s="1019"/>
    </row>
    <row r="846" spans="1:15" s="322" customFormat="1" ht="9.5" customHeight="1">
      <c r="A846" s="1036"/>
      <c r="B846" s="361"/>
      <c r="C846" s="365"/>
      <c r="D846" s="435"/>
      <c r="E846" s="361"/>
      <c r="F846" s="361"/>
      <c r="G846" s="361"/>
      <c r="H846" s="317"/>
      <c r="I846" s="317"/>
      <c r="J846" s="317"/>
      <c r="K846" s="317"/>
      <c r="L846" s="317"/>
      <c r="M846" s="317"/>
      <c r="N846" s="317"/>
      <c r="O846" s="1019"/>
    </row>
    <row r="847" spans="1:15" s="322" customFormat="1" ht="9.5" customHeight="1">
      <c r="A847" s="1036"/>
      <c r="B847" s="361"/>
      <c r="C847" s="361"/>
      <c r="D847" s="361"/>
      <c r="E847" s="361"/>
      <c r="F847" s="361"/>
      <c r="G847" s="361"/>
      <c r="H847" s="317"/>
      <c r="I847" s="317"/>
      <c r="J847" s="317"/>
      <c r="K847" s="317"/>
      <c r="L847" s="317"/>
      <c r="M847" s="317"/>
      <c r="N847" s="317"/>
      <c r="O847" s="1019"/>
    </row>
    <row r="848" spans="1:15" s="322" customFormat="1" ht="9.5" customHeight="1">
      <c r="A848" s="1036"/>
      <c r="B848" s="317"/>
      <c r="C848" s="317"/>
      <c r="D848" s="317"/>
      <c r="E848" s="317"/>
      <c r="F848" s="317"/>
      <c r="G848" s="317"/>
      <c r="H848" s="317"/>
      <c r="I848" s="317"/>
      <c r="J848" s="317"/>
      <c r="K848" s="317"/>
      <c r="L848" s="317"/>
      <c r="M848" s="317"/>
      <c r="N848" s="317"/>
      <c r="O848" s="1019"/>
    </row>
    <row r="849" spans="1:15" s="322" customFormat="1" ht="9.5" customHeight="1">
      <c r="A849" s="1036"/>
      <c r="B849" s="317"/>
      <c r="C849" s="317"/>
      <c r="D849" s="317"/>
      <c r="E849" s="317"/>
      <c r="F849" s="317"/>
      <c r="G849" s="317"/>
      <c r="H849" s="317"/>
      <c r="I849" s="317"/>
      <c r="J849" s="317"/>
      <c r="K849" s="317"/>
      <c r="L849" s="317"/>
      <c r="M849" s="317"/>
      <c r="N849" s="317"/>
      <c r="O849" s="1019"/>
    </row>
    <row r="850" spans="1:15" s="322" customFormat="1" ht="9.5" customHeight="1">
      <c r="A850" s="1036"/>
      <c r="B850" s="317"/>
      <c r="C850" s="317"/>
      <c r="D850" s="317"/>
      <c r="E850" s="317"/>
      <c r="F850" s="317"/>
      <c r="G850" s="317"/>
      <c r="H850" s="317"/>
      <c r="I850" s="317"/>
      <c r="J850" s="317"/>
      <c r="K850" s="317"/>
      <c r="L850" s="317"/>
      <c r="M850" s="317"/>
      <c r="N850" s="317"/>
      <c r="O850" s="1019"/>
    </row>
    <row r="851" spans="1:15" s="322" customFormat="1" ht="9.5" customHeight="1">
      <c r="A851" s="1036"/>
      <c r="B851" s="317"/>
      <c r="C851" s="317"/>
      <c r="D851" s="317"/>
      <c r="E851" s="317"/>
      <c r="F851" s="317"/>
      <c r="G851" s="317"/>
      <c r="H851" s="317"/>
      <c r="I851" s="317"/>
      <c r="J851" s="317"/>
      <c r="K851" s="317"/>
      <c r="L851" s="317"/>
      <c r="M851" s="317"/>
      <c r="N851" s="317"/>
      <c r="O851" s="1019"/>
    </row>
    <row r="852" spans="1:15" s="322" customFormat="1" ht="9.5" customHeight="1">
      <c r="A852" s="1036"/>
      <c r="B852" s="317"/>
      <c r="C852" s="317"/>
      <c r="D852" s="317"/>
      <c r="E852" s="317"/>
      <c r="F852" s="317"/>
      <c r="G852" s="317"/>
      <c r="H852" s="317"/>
      <c r="I852" s="317"/>
      <c r="J852" s="317"/>
      <c r="K852" s="317"/>
      <c r="L852" s="317"/>
      <c r="M852" s="317"/>
      <c r="N852" s="317"/>
      <c r="O852" s="1019"/>
    </row>
    <row r="853" spans="1:15" s="322" customFormat="1" ht="9.5" customHeight="1">
      <c r="A853" s="1036"/>
      <c r="C853" s="326"/>
      <c r="D853" s="318"/>
      <c r="E853" s="318"/>
      <c r="F853" s="318"/>
      <c r="G853" s="318"/>
      <c r="H853" s="318"/>
      <c r="J853" s="317"/>
      <c r="K853" s="317"/>
      <c r="L853" s="317"/>
      <c r="M853" s="317"/>
      <c r="N853" s="317"/>
      <c r="O853" s="1019"/>
    </row>
    <row r="854" spans="1:15" s="322" customFormat="1" ht="9.5" customHeight="1" thickBot="1">
      <c r="A854" s="1036"/>
      <c r="C854" s="326"/>
      <c r="D854" s="318"/>
      <c r="E854" s="318"/>
      <c r="F854" s="318"/>
      <c r="G854" s="318"/>
      <c r="H854" s="318"/>
      <c r="J854" s="317"/>
      <c r="K854" s="317"/>
      <c r="L854" s="317"/>
      <c r="M854" s="317"/>
      <c r="N854" s="317"/>
      <c r="O854" s="1017"/>
    </row>
    <row r="855" spans="1:15" s="322" customFormat="1" ht="9.5" customHeight="1" thickTop="1">
      <c r="A855" s="1036"/>
      <c r="B855" s="1114"/>
      <c r="C855" s="1115"/>
      <c r="D855" s="1115"/>
      <c r="E855" s="1092" t="s">
        <v>2888</v>
      </c>
      <c r="F855" s="1092"/>
      <c r="G855" s="1092"/>
      <c r="H855" s="1092"/>
      <c r="I855" s="1092"/>
      <c r="J855" s="1092"/>
      <c r="K855" s="1092"/>
      <c r="L855" s="1115"/>
      <c r="M855" s="1115"/>
      <c r="N855" s="1116"/>
      <c r="O855" s="1019"/>
    </row>
    <row r="856" spans="1:15" s="322" customFormat="1" ht="9.5" customHeight="1">
      <c r="A856" s="1036"/>
      <c r="B856" s="1117"/>
      <c r="C856" s="996"/>
      <c r="D856" s="996"/>
      <c r="E856" s="1089"/>
      <c r="F856" s="1089"/>
      <c r="G856" s="1089"/>
      <c r="H856" s="1089"/>
      <c r="I856" s="1089"/>
      <c r="J856" s="1089"/>
      <c r="K856" s="1089"/>
      <c r="L856" s="996"/>
      <c r="M856" s="996"/>
      <c r="N856" s="1036"/>
      <c r="O856" s="1019"/>
    </row>
    <row r="857" spans="1:15" s="322" customFormat="1" ht="8" customHeight="1">
      <c r="A857" s="1036"/>
      <c r="B857" s="1117"/>
      <c r="C857" s="996"/>
      <c r="D857" s="996"/>
      <c r="E857" s="1089"/>
      <c r="F857" s="1089"/>
      <c r="G857" s="1089"/>
      <c r="H857" s="1089"/>
      <c r="I857" s="1089"/>
      <c r="J857" s="1089"/>
      <c r="K857" s="1089"/>
      <c r="L857" s="996"/>
      <c r="M857" s="996"/>
      <c r="N857" s="1036"/>
      <c r="O857" s="1019"/>
    </row>
    <row r="858" spans="1:15" s="2" customFormat="1" ht="11.5" customHeight="1">
      <c r="A858" s="1036"/>
      <c r="B858" s="405"/>
      <c r="C858" s="406">
        <f>C247-(E22/2)</f>
        <v>4825.7994259999996</v>
      </c>
      <c r="D858" s="406"/>
      <c r="E858" s="406"/>
      <c r="F858" s="406"/>
      <c r="G858" s="406"/>
      <c r="H858" s="406"/>
      <c r="I858" s="406"/>
      <c r="J858" s="406"/>
      <c r="K858" s="406"/>
      <c r="L858" s="406"/>
      <c r="M858" s="406">
        <f>403.5482698*(закулисье!$V$18*(H879/H263))</f>
        <v>1976.7786305760687</v>
      </c>
      <c r="N858" s="407"/>
      <c r="O858" s="1020"/>
    </row>
    <row r="859" spans="1:15" s="2" customFormat="1" ht="11.5" customHeight="1">
      <c r="A859" s="1036"/>
      <c r="B859" s="408"/>
      <c r="C859" s="406">
        <f>C248-(E22/2)</f>
        <v>4811.2348759999995</v>
      </c>
      <c r="D859" s="406"/>
      <c r="E859" s="406"/>
      <c r="F859" s="406"/>
      <c r="G859" s="406"/>
      <c r="H859" s="406"/>
      <c r="I859" s="406"/>
      <c r="J859" s="406"/>
      <c r="K859" s="406"/>
      <c r="L859" s="406"/>
      <c r="M859" s="406">
        <f>412.1028065*(закулисье!$V$18*(H879/H263))</f>
        <v>2018.682974141758</v>
      </c>
      <c r="N859" s="408"/>
      <c r="O859" s="1020"/>
    </row>
    <row r="860" spans="1:15" ht="11.5" customHeight="1">
      <c r="A860" s="1036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019"/>
    </row>
    <row r="861" spans="1:15" ht="11.5" customHeight="1">
      <c r="A861" s="1036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019"/>
    </row>
    <row r="862" spans="1:15" ht="11.5" customHeight="1">
      <c r="A862" s="1036"/>
      <c r="B862" s="367"/>
      <c r="C862" s="381"/>
      <c r="D862" s="381"/>
      <c r="E862" s="381"/>
      <c r="F862" s="381"/>
      <c r="G862" s="381"/>
      <c r="H862" s="381"/>
      <c r="I862" s="381"/>
      <c r="J862" s="381"/>
      <c r="K862" s="381"/>
      <c r="L862" s="381"/>
      <c r="M862" s="381"/>
      <c r="N862" s="381"/>
      <c r="O862" s="1019"/>
    </row>
    <row r="863" spans="1:15" ht="11.5" customHeight="1">
      <c r="A863" s="1036"/>
      <c r="B863" s="367"/>
      <c r="C863" s="383">
        <f>22.680887*(закулисье!$V$18*2*(H879/H263))</f>
        <v>222.20436116022003</v>
      </c>
      <c r="D863" s="387">
        <f>62.33578*(закулисье!$V$18*2*(H879/H263))</f>
        <v>610.7028429851099</v>
      </c>
      <c r="E863" s="386">
        <f>87.050044*(закулисье!$V$18*2*(H879/H263))</f>
        <v>852.82817272486056</v>
      </c>
      <c r="F863" s="798">
        <f>100.861245*(закулисье!$V$18*2*(H879/H263))</f>
        <v>988.13633307416228</v>
      </c>
      <c r="G863" s="798"/>
      <c r="H863" s="384">
        <f>101.06778*(закулисье!$V$18*2*(H879/H263))</f>
        <v>990.15975383950649</v>
      </c>
      <c r="I863" s="386">
        <f>H863</f>
        <v>990.15975383950649</v>
      </c>
      <c r="J863" s="382">
        <f>F863</f>
        <v>988.13633307416228</v>
      </c>
      <c r="K863" s="382">
        <f>E863</f>
        <v>852.82817272486056</v>
      </c>
      <c r="L863" s="385">
        <f>D864</f>
        <v>749.28105154162768</v>
      </c>
      <c r="M863" s="384">
        <f>C864</f>
        <v>389.74696089735528</v>
      </c>
      <c r="N863" s="381"/>
      <c r="O863" s="1019"/>
    </row>
    <row r="864" spans="1:15" ht="11.5" customHeight="1">
      <c r="A864" s="1026"/>
      <c r="B864" s="367"/>
      <c r="C864" s="388">
        <f>39.782328*(закулисье!$V$18*2*(H879/H263))</f>
        <v>389.74696089735528</v>
      </c>
      <c r="D864" s="391">
        <f>76.480762*(закулисье!$V$18*2*(H879/H263))</f>
        <v>749.28105154162768</v>
      </c>
      <c r="E864" s="381"/>
      <c r="F864" s="381"/>
      <c r="G864" s="381"/>
      <c r="H864" s="381"/>
      <c r="I864" s="381"/>
      <c r="J864" s="381"/>
      <c r="K864" s="381"/>
      <c r="L864" s="390">
        <f>D863</f>
        <v>610.7028429851099</v>
      </c>
      <c r="M864" s="389">
        <f>C863</f>
        <v>222.20436116022003</v>
      </c>
      <c r="N864" s="381"/>
      <c r="O864" s="1019"/>
    </row>
    <row r="865" spans="1:15" ht="11.5" customHeight="1">
      <c r="A865" s="1026"/>
      <c r="B865" s="367"/>
      <c r="C865" s="367"/>
      <c r="D865" s="367"/>
      <c r="E865" s="367"/>
      <c r="F865" s="367"/>
      <c r="G865" s="367"/>
      <c r="H865" s="822">
        <f>M858</f>
        <v>1976.7786305760687</v>
      </c>
      <c r="I865" s="822"/>
      <c r="J865" s="367"/>
      <c r="K865" s="368"/>
      <c r="L865" s="368"/>
      <c r="M865" s="368"/>
      <c r="N865" s="368"/>
      <c r="O865" s="1019"/>
    </row>
    <row r="866" spans="1:15" ht="11.5" customHeight="1">
      <c r="A866" s="1026"/>
      <c r="B866" s="367"/>
      <c r="C866" s="367"/>
      <c r="D866" s="367"/>
      <c r="E866" s="367"/>
      <c r="F866" s="367"/>
      <c r="G866" s="367"/>
      <c r="H866" s="822"/>
      <c r="I866" s="822"/>
      <c r="J866" s="367"/>
      <c r="K866" s="368"/>
      <c r="L866" s="368"/>
      <c r="M866" s="368"/>
      <c r="N866" s="368"/>
      <c r="O866" s="1019"/>
    </row>
    <row r="867" spans="1:15" ht="11.5" customHeight="1">
      <c r="A867" s="1026"/>
      <c r="B867" s="369"/>
      <c r="C867" s="369"/>
      <c r="D867" s="369"/>
      <c r="E867" s="369"/>
      <c r="F867" s="369"/>
      <c r="G867" s="369"/>
      <c r="H867" s="369"/>
      <c r="I867" s="369"/>
      <c r="J867" s="369"/>
      <c r="K867" s="370"/>
      <c r="L867" s="370"/>
      <c r="M867" s="370"/>
      <c r="N867" s="368"/>
      <c r="O867" s="1019"/>
    </row>
    <row r="868" spans="1:15" ht="11.5" customHeight="1">
      <c r="A868" s="1026"/>
      <c r="B868" s="632">
        <f>M868</f>
        <v>831.80582683668979</v>
      </c>
      <c r="C868" s="632"/>
      <c r="D868" s="369"/>
      <c r="E868" s="823">
        <f>M859</f>
        <v>2018.682974141758</v>
      </c>
      <c r="F868" s="823"/>
      <c r="G868" s="369"/>
      <c r="H868" s="369"/>
      <c r="I868" s="369"/>
      <c r="J868" s="824">
        <f>M859</f>
        <v>2018.682974141758</v>
      </c>
      <c r="K868" s="824"/>
      <c r="L868" s="370"/>
      <c r="M868" s="642">
        <f>84.904247*(закулисье!$V$18*2*(H879/H263))</f>
        <v>831.80582683668979</v>
      </c>
      <c r="N868" s="642"/>
      <c r="O868" s="1019"/>
    </row>
    <row r="869" spans="1:15" ht="11.5" customHeight="1">
      <c r="A869" s="1026"/>
      <c r="B869" s="632"/>
      <c r="C869" s="632"/>
      <c r="D869" s="369"/>
      <c r="E869" s="369"/>
      <c r="F869" s="369"/>
      <c r="G869" s="369"/>
      <c r="H869" s="369"/>
      <c r="I869" s="369"/>
      <c r="J869" s="824"/>
      <c r="K869" s="824"/>
      <c r="L869" s="370"/>
      <c r="M869" s="642"/>
      <c r="N869" s="642"/>
      <c r="O869" s="1019"/>
    </row>
    <row r="870" spans="1:15" ht="11.5" customHeight="1">
      <c r="A870" s="1026"/>
      <c r="B870" s="369"/>
      <c r="C870" s="369"/>
      <c r="D870" s="369"/>
      <c r="E870" s="369"/>
      <c r="F870" s="369"/>
      <c r="G870" s="369"/>
      <c r="H870" s="369"/>
      <c r="I870" s="369"/>
      <c r="J870" s="369"/>
      <c r="K870" s="370"/>
      <c r="L870" s="370"/>
      <c r="M870" s="370"/>
      <c r="N870" s="368"/>
      <c r="O870" s="1019"/>
    </row>
    <row r="871" spans="1:15" ht="11.5" customHeight="1">
      <c r="A871" s="1026"/>
      <c r="B871" s="369"/>
      <c r="C871" s="369"/>
      <c r="D871" s="369"/>
      <c r="E871" s="369"/>
      <c r="F871" s="369"/>
      <c r="G871" s="369"/>
      <c r="H871" s="369"/>
      <c r="I871" s="369"/>
      <c r="J871" s="369"/>
      <c r="K871" s="370"/>
      <c r="L871" s="370"/>
      <c r="M871" s="370"/>
      <c r="N871" s="368"/>
      <c r="O871" s="1019"/>
    </row>
    <row r="872" spans="1:15" ht="11.5" customHeight="1">
      <c r="A872" s="1026"/>
      <c r="B872" s="369"/>
      <c r="C872" s="369"/>
      <c r="D872" s="369"/>
      <c r="E872" s="369"/>
      <c r="F872" s="369"/>
      <c r="G872" s="369"/>
      <c r="H872" s="369"/>
      <c r="I872" s="369"/>
      <c r="J872" s="369"/>
      <c r="K872" s="370"/>
      <c r="L872" s="370"/>
      <c r="M872" s="370"/>
      <c r="N872" s="368"/>
      <c r="O872" s="1019"/>
    </row>
    <row r="873" spans="1:15" ht="11.5" customHeight="1">
      <c r="A873" s="1026"/>
      <c r="B873" s="369"/>
      <c r="C873" s="369"/>
      <c r="D873" s="369"/>
      <c r="E873" s="369"/>
      <c r="F873" s="369"/>
      <c r="G873" s="369"/>
      <c r="H873" s="369"/>
      <c r="I873" s="369"/>
      <c r="J873" s="369"/>
      <c r="K873" s="370"/>
      <c r="L873" s="370"/>
      <c r="M873" s="370"/>
      <c r="N873" s="368"/>
      <c r="O873" s="1019"/>
    </row>
    <row r="874" spans="1:15" ht="11.5" customHeight="1">
      <c r="A874" s="1026"/>
      <c r="B874" s="369"/>
      <c r="C874" s="369"/>
      <c r="D874" s="369"/>
      <c r="E874" s="369"/>
      <c r="F874" s="369"/>
      <c r="G874" s="369"/>
      <c r="H874" s="369"/>
      <c r="I874" s="369"/>
      <c r="J874" s="369"/>
      <c r="K874" s="370"/>
      <c r="L874" s="370"/>
      <c r="M874" s="370"/>
      <c r="N874" s="368"/>
      <c r="O874" s="1019"/>
    </row>
    <row r="875" spans="1:15" ht="11.5" customHeight="1">
      <c r="A875" s="1026"/>
      <c r="B875" s="634">
        <f>M875</f>
        <v>1493.8207727191307</v>
      </c>
      <c r="C875" s="634"/>
      <c r="D875" s="371">
        <f>M859</f>
        <v>2018.682974141758</v>
      </c>
      <c r="E875" s="369"/>
      <c r="F875" s="369"/>
      <c r="G875" s="369"/>
      <c r="H875" s="369"/>
      <c r="I875" s="369"/>
      <c r="J875" s="369"/>
      <c r="K875" s="370"/>
      <c r="L875" s="372">
        <f>M859</f>
        <v>2018.682974141758</v>
      </c>
      <c r="M875" s="694">
        <f>152.477566*(закулисье!$V$18*2*(H879/H263))</f>
        <v>1493.8207727191307</v>
      </c>
      <c r="N875" s="694"/>
      <c r="O875" s="1019"/>
    </row>
    <row r="876" spans="1:15" ht="11.5" customHeight="1">
      <c r="A876" s="1026"/>
      <c r="B876" s="369"/>
      <c r="C876" s="369"/>
      <c r="D876" s="369"/>
      <c r="E876" s="369"/>
      <c r="F876" s="369"/>
      <c r="G876" s="369"/>
      <c r="H876" s="369"/>
      <c r="I876" s="369"/>
      <c r="J876" s="369"/>
      <c r="K876" s="370"/>
      <c r="L876" s="370"/>
      <c r="M876" s="370"/>
      <c r="N876" s="368"/>
      <c r="O876" s="1019"/>
    </row>
    <row r="877" spans="1:15" ht="11.5" customHeight="1">
      <c r="A877" s="1026"/>
      <c r="B877" s="369"/>
      <c r="C877" s="369"/>
      <c r="D877" s="369"/>
      <c r="E877" s="369"/>
      <c r="F877" s="369"/>
      <c r="G877" s="369"/>
      <c r="H877" s="369"/>
      <c r="I877" s="369"/>
      <c r="J877" s="369"/>
      <c r="K877" s="370"/>
      <c r="L877" s="370"/>
      <c r="M877" s="370"/>
      <c r="N877" s="368"/>
      <c r="O877" s="1019"/>
    </row>
    <row r="878" spans="1:15" ht="11.5" customHeight="1">
      <c r="A878" s="1026"/>
      <c r="B878" s="369"/>
      <c r="C878" s="369"/>
      <c r="D878" s="369"/>
      <c r="E878" s="369"/>
      <c r="F878" s="369"/>
      <c r="G878" s="369"/>
      <c r="H878" s="369"/>
      <c r="I878" s="369"/>
      <c r="J878" s="369"/>
      <c r="K878" s="370"/>
      <c r="L878" s="370"/>
      <c r="M878" s="370"/>
      <c r="N878" s="368"/>
      <c r="O878" s="1019"/>
    </row>
    <row r="879" spans="1:15" ht="11.5" customHeight="1">
      <c r="A879" s="1026"/>
      <c r="B879" s="369"/>
      <c r="C879" s="369"/>
      <c r="D879" s="369"/>
      <c r="E879" s="369"/>
      <c r="F879" s="369"/>
      <c r="G879" s="369"/>
      <c r="H879" s="373">
        <f>C858</f>
        <v>4825.7994259999996</v>
      </c>
      <c r="I879" s="374">
        <f>C858</f>
        <v>4825.7994259999996</v>
      </c>
      <c r="J879" s="369"/>
      <c r="K879" s="370"/>
      <c r="L879" s="370"/>
      <c r="M879" s="370"/>
      <c r="N879" s="368"/>
      <c r="O879" s="1019"/>
    </row>
    <row r="880" spans="1:15" ht="11.5" customHeight="1">
      <c r="A880" s="1026"/>
      <c r="B880" s="369"/>
      <c r="C880" s="369"/>
      <c r="D880" s="369"/>
      <c r="E880" s="369"/>
      <c r="F880" s="369"/>
      <c r="G880" s="369"/>
      <c r="H880" s="369"/>
      <c r="I880" s="369"/>
      <c r="J880" s="367"/>
      <c r="K880" s="370"/>
      <c r="L880" s="370"/>
      <c r="M880" s="370"/>
      <c r="N880" s="368"/>
      <c r="O880" s="1019"/>
    </row>
    <row r="881" spans="1:15" ht="11.5" customHeight="1">
      <c r="A881" s="1026"/>
      <c r="B881" s="369"/>
      <c r="C881" s="369"/>
      <c r="D881" s="369"/>
      <c r="E881" s="369"/>
      <c r="F881" s="369"/>
      <c r="G881" s="369"/>
      <c r="H881" s="367"/>
      <c r="I881" s="367"/>
      <c r="J881" s="373">
        <f>C859</f>
        <v>4811.2348759999995</v>
      </c>
      <c r="K881" s="370"/>
      <c r="L881" s="370"/>
      <c r="M881" s="370"/>
      <c r="N881" s="368"/>
      <c r="O881" s="1019"/>
    </row>
    <row r="882" spans="1:15" ht="11.5" customHeight="1">
      <c r="A882" s="1026"/>
      <c r="B882" s="369"/>
      <c r="C882" s="369"/>
      <c r="D882" s="369"/>
      <c r="E882" s="369"/>
      <c r="F882" s="375">
        <f>C859</f>
        <v>4811.2348759999995</v>
      </c>
      <c r="G882" s="369"/>
      <c r="H882" s="369"/>
      <c r="I882" s="369"/>
      <c r="J882" s="367"/>
      <c r="K882" s="370"/>
      <c r="L882" s="370"/>
      <c r="M882" s="370"/>
      <c r="N882" s="368"/>
      <c r="O882" s="1019"/>
    </row>
    <row r="883" spans="1:15" ht="11.5" customHeight="1">
      <c r="A883" s="1026"/>
      <c r="B883" s="369"/>
      <c r="C883" s="369"/>
      <c r="D883" s="369"/>
      <c r="E883" s="369"/>
      <c r="F883" s="369"/>
      <c r="G883" s="369"/>
      <c r="H883" s="369"/>
      <c r="I883" s="369"/>
      <c r="J883" s="369"/>
      <c r="K883" s="370"/>
      <c r="L883" s="370"/>
      <c r="M883" s="370"/>
      <c r="N883" s="380"/>
      <c r="O883" s="1021"/>
    </row>
    <row r="884" spans="1:15" ht="11.5" customHeight="1">
      <c r="A884" s="1026"/>
      <c r="B884" s="368"/>
      <c r="C884" s="799">
        <f>M858</f>
        <v>1976.7786305760687</v>
      </c>
      <c r="D884" s="799"/>
      <c r="E884" s="369"/>
      <c r="F884" s="369"/>
      <c r="G884" s="369"/>
      <c r="H884" s="369"/>
      <c r="I884" s="369"/>
      <c r="J884" s="369"/>
      <c r="K884" s="370"/>
      <c r="L884" s="370"/>
      <c r="M884" s="393">
        <f>M858</f>
        <v>1976.7786305760687</v>
      </c>
      <c r="N884" s="380"/>
      <c r="O884" s="1021"/>
    </row>
    <row r="885" spans="1:15" ht="11.5" customHeight="1">
      <c r="A885" s="1026"/>
      <c r="B885" s="635">
        <f>M885</f>
        <v>1883.3922009956098</v>
      </c>
      <c r="C885" s="635"/>
      <c r="D885" s="368"/>
      <c r="E885" s="369"/>
      <c r="F885" s="369"/>
      <c r="G885" s="369"/>
      <c r="H885" s="369"/>
      <c r="I885" s="369"/>
      <c r="J885" s="369"/>
      <c r="K885" s="370"/>
      <c r="L885" s="370"/>
      <c r="M885" s="695">
        <f>192.241977*(закулисье!$V$18*2*(H879/H263))</f>
        <v>1883.3922009956098</v>
      </c>
      <c r="N885" s="695"/>
      <c r="O885" s="1021"/>
    </row>
    <row r="886" spans="1:15" ht="11.5" customHeight="1">
      <c r="A886" s="1026"/>
      <c r="B886" s="369"/>
      <c r="C886" s="369"/>
      <c r="D886" s="369"/>
      <c r="E886" s="825">
        <f>C858</f>
        <v>4825.7994259999996</v>
      </c>
      <c r="F886" s="369"/>
      <c r="G886" s="369"/>
      <c r="H886" s="369"/>
      <c r="I886" s="369"/>
      <c r="J886" s="369"/>
      <c r="K886" s="377">
        <f>C858</f>
        <v>4825.7994259999996</v>
      </c>
      <c r="L886" s="370"/>
      <c r="M886" s="392"/>
      <c r="N886" s="392"/>
      <c r="O886" s="1021"/>
    </row>
    <row r="887" spans="1:15" ht="11.5" customHeight="1">
      <c r="A887" s="1026"/>
      <c r="B887" s="369"/>
      <c r="C887" s="369"/>
      <c r="D887" s="369"/>
      <c r="E887" s="825"/>
      <c r="F887" s="369"/>
      <c r="G887" s="369"/>
      <c r="H887" s="369"/>
      <c r="I887" s="369"/>
      <c r="J887" s="369"/>
      <c r="K887" s="370"/>
      <c r="L887" s="370"/>
      <c r="M887" s="370"/>
      <c r="N887" s="380"/>
      <c r="O887" s="1021"/>
    </row>
    <row r="888" spans="1:15" ht="11.5" customHeight="1">
      <c r="A888" s="1026"/>
      <c r="B888" s="369"/>
      <c r="C888" s="369"/>
      <c r="D888" s="369"/>
      <c r="E888" s="369"/>
      <c r="F888" s="369"/>
      <c r="G888" s="369"/>
      <c r="H888" s="369"/>
      <c r="I888" s="369"/>
      <c r="J888" s="369"/>
      <c r="K888" s="370"/>
      <c r="L888" s="370"/>
      <c r="M888" s="370"/>
      <c r="N888" s="380"/>
      <c r="O888" s="1021"/>
    </row>
    <row r="889" spans="1:15" ht="11.5" customHeight="1">
      <c r="A889" s="1026"/>
      <c r="B889" s="369"/>
      <c r="C889" s="369"/>
      <c r="D889" s="369"/>
      <c r="E889" s="369"/>
      <c r="F889" s="369"/>
      <c r="G889" s="369"/>
      <c r="H889" s="369"/>
      <c r="I889" s="369"/>
      <c r="J889" s="369"/>
      <c r="K889" s="370"/>
      <c r="L889" s="370"/>
      <c r="M889" s="370"/>
      <c r="N889" s="380"/>
      <c r="O889" s="1021"/>
    </row>
    <row r="890" spans="1:15" ht="11.5" customHeight="1">
      <c r="A890" s="1026"/>
      <c r="B890" s="369"/>
      <c r="C890" s="369"/>
      <c r="D890" s="369"/>
      <c r="E890" s="369"/>
      <c r="F890" s="369"/>
      <c r="G890" s="369"/>
      <c r="H890" s="369"/>
      <c r="I890" s="369"/>
      <c r="J890" s="369"/>
      <c r="K890" s="370"/>
      <c r="L890" s="370"/>
      <c r="M890" s="370"/>
      <c r="N890" s="380"/>
      <c r="O890" s="1021"/>
    </row>
    <row r="891" spans="1:15" ht="11.5" customHeight="1">
      <c r="A891" s="1026"/>
      <c r="B891" s="369"/>
      <c r="C891" s="369"/>
      <c r="D891" s="369"/>
      <c r="E891" s="369"/>
      <c r="F891" s="369"/>
      <c r="G891" s="369"/>
      <c r="H891" s="369"/>
      <c r="I891" s="369"/>
      <c r="J891" s="369"/>
      <c r="K891" s="370"/>
      <c r="L891" s="370"/>
      <c r="M891" s="370"/>
      <c r="N891" s="380"/>
      <c r="O891" s="1021"/>
    </row>
    <row r="892" spans="1:15" ht="11.5" customHeight="1">
      <c r="A892" s="1026"/>
      <c r="B892" s="369"/>
      <c r="C892" s="369"/>
      <c r="D892" s="369"/>
      <c r="E892" s="826">
        <f>C858</f>
        <v>4825.7994259999996</v>
      </c>
      <c r="F892" s="369"/>
      <c r="G892" s="369"/>
      <c r="H892" s="369"/>
      <c r="I892" s="369"/>
      <c r="J892" s="369"/>
      <c r="K892" s="795">
        <f>C858</f>
        <v>4825.7994259999996</v>
      </c>
      <c r="L892" s="795"/>
      <c r="M892" s="370"/>
      <c r="N892" s="368"/>
      <c r="O892" s="1019"/>
    </row>
    <row r="893" spans="1:15" ht="11.5" customHeight="1">
      <c r="A893" s="1026"/>
      <c r="B893" s="369"/>
      <c r="C893" s="369"/>
      <c r="D893" s="369"/>
      <c r="E893" s="826"/>
      <c r="F893" s="369"/>
      <c r="G893" s="369"/>
      <c r="H893" s="369"/>
      <c r="I893" s="369"/>
      <c r="J893" s="369"/>
      <c r="K893" s="370"/>
      <c r="L893" s="370"/>
      <c r="M893" s="370"/>
      <c r="N893" s="368"/>
      <c r="O893" s="1019"/>
    </row>
    <row r="894" spans="1:15" ht="11.5" customHeight="1">
      <c r="A894" s="1026"/>
      <c r="B894" s="369"/>
      <c r="C894" s="369"/>
      <c r="D894" s="369"/>
      <c r="E894" s="369"/>
      <c r="F894" s="369"/>
      <c r="G894" s="369"/>
      <c r="H894" s="369"/>
      <c r="I894" s="369"/>
      <c r="J894" s="369"/>
      <c r="K894" s="370"/>
      <c r="L894" s="370"/>
      <c r="M894" s="370"/>
      <c r="N894" s="368"/>
      <c r="O894" s="1019"/>
    </row>
    <row r="895" spans="1:15" ht="11.5" customHeight="1">
      <c r="A895" s="1026"/>
      <c r="B895" s="634">
        <f>M895</f>
        <v>2007.9052080293895</v>
      </c>
      <c r="C895" s="634"/>
      <c r="D895" s="369"/>
      <c r="E895" s="369"/>
      <c r="F895" s="369"/>
      <c r="G895" s="369"/>
      <c r="H895" s="369"/>
      <c r="I895" s="369"/>
      <c r="J895" s="369"/>
      <c r="K895" s="370"/>
      <c r="L895" s="370"/>
      <c r="M895" s="694">
        <f>204.951293*(закулисье!$V$18*2*(H879/H263))</f>
        <v>2007.9052080293895</v>
      </c>
      <c r="N895" s="694"/>
      <c r="O895" s="1019"/>
    </row>
    <row r="896" spans="1:15" ht="11.5" customHeight="1">
      <c r="A896" s="1026"/>
      <c r="B896" s="369"/>
      <c r="C896" s="633">
        <f>M859</f>
        <v>2018.682974141758</v>
      </c>
      <c r="D896" s="633"/>
      <c r="E896" s="369"/>
      <c r="F896" s="369"/>
      <c r="G896" s="369"/>
      <c r="H896" s="369"/>
      <c r="I896" s="369"/>
      <c r="J896" s="369"/>
      <c r="K896" s="370"/>
      <c r="L896" s="370"/>
      <c r="M896" s="378">
        <f>M859</f>
        <v>2018.682974141758</v>
      </c>
      <c r="N896" s="368"/>
      <c r="O896" s="1019"/>
    </row>
    <row r="897" spans="1:15" ht="11.5" customHeight="1">
      <c r="A897" s="1026"/>
      <c r="D897" s="369"/>
      <c r="E897" s="369"/>
      <c r="F897" s="369"/>
      <c r="G897" s="369"/>
      <c r="H897" s="369"/>
      <c r="I897" s="369"/>
      <c r="J897" s="369"/>
      <c r="K897" s="370"/>
      <c r="L897" s="370"/>
      <c r="M897" s="370"/>
      <c r="N897" s="367"/>
      <c r="O897" s="1019"/>
    </row>
    <row r="898" spans="1:15" ht="11.5" customHeight="1">
      <c r="A898" s="1026"/>
      <c r="B898" s="369"/>
      <c r="C898" s="369"/>
      <c r="D898" s="369"/>
      <c r="E898" s="374">
        <f>C859</f>
        <v>4811.2348759999995</v>
      </c>
      <c r="F898" s="369"/>
      <c r="G898" s="369"/>
      <c r="H898" s="369"/>
      <c r="I898" s="369"/>
      <c r="J898" s="369"/>
      <c r="K898" s="379">
        <f>C859</f>
        <v>4811.2348759999995</v>
      </c>
      <c r="L898" s="370"/>
      <c r="M898" s="370"/>
      <c r="N898" s="368"/>
      <c r="O898" s="1019"/>
    </row>
    <row r="899" spans="1:15" ht="11.5" customHeight="1">
      <c r="A899" s="1026"/>
      <c r="B899" s="369"/>
      <c r="C899" s="369"/>
      <c r="D899" s="369"/>
      <c r="E899" s="369"/>
      <c r="F899" s="369"/>
      <c r="G899" s="369"/>
      <c r="H899" s="369"/>
      <c r="I899" s="369"/>
      <c r="J899" s="369"/>
      <c r="K899" s="370"/>
      <c r="L899" s="370"/>
      <c r="M899" s="370"/>
      <c r="N899" s="368"/>
      <c r="O899" s="1019"/>
    </row>
    <row r="900" spans="1:15" ht="11.5" customHeight="1">
      <c r="A900" s="1026"/>
      <c r="B900" s="369"/>
      <c r="C900" s="369"/>
      <c r="D900" s="369"/>
      <c r="E900" s="369"/>
      <c r="F900" s="369"/>
      <c r="G900" s="369"/>
      <c r="H900" s="369"/>
      <c r="I900" s="369"/>
      <c r="J900" s="369"/>
      <c r="K900" s="370"/>
      <c r="L900" s="370"/>
      <c r="M900" s="370"/>
      <c r="N900" s="368"/>
      <c r="O900" s="1019"/>
    </row>
    <row r="901" spans="1:15" ht="11.5" customHeight="1">
      <c r="A901" s="1026"/>
      <c r="B901" s="369"/>
      <c r="C901" s="369"/>
      <c r="D901" s="369"/>
      <c r="E901" s="369"/>
      <c r="F901" s="369"/>
      <c r="G901" s="369"/>
      <c r="H901" s="369"/>
      <c r="I901" s="369"/>
      <c r="J901" s="369"/>
      <c r="K901" s="370"/>
      <c r="L901" s="370"/>
      <c r="M901" s="370"/>
      <c r="N901" s="368"/>
      <c r="O901" s="1019"/>
    </row>
    <row r="902" spans="1:15" ht="11.5" customHeight="1">
      <c r="A902" s="1026"/>
      <c r="B902" s="369"/>
      <c r="C902" s="369"/>
      <c r="D902" s="369"/>
      <c r="E902" s="369"/>
      <c r="F902" s="369"/>
      <c r="G902" s="369"/>
      <c r="H902" s="369"/>
      <c r="I902" s="369"/>
      <c r="J902" s="369"/>
      <c r="K902" s="369"/>
      <c r="L902" s="369"/>
      <c r="M902" s="369"/>
      <c r="N902" s="367"/>
      <c r="O902" s="1019"/>
    </row>
    <row r="903" spans="1:15" ht="11.5" customHeight="1">
      <c r="A903" s="1026"/>
      <c r="B903" s="369"/>
      <c r="C903" s="369"/>
      <c r="D903" s="369"/>
      <c r="E903" s="369"/>
      <c r="F903" s="373">
        <f>C858</f>
        <v>4825.7994259999996</v>
      </c>
      <c r="G903" s="369"/>
      <c r="H903" s="369"/>
      <c r="I903" s="369"/>
      <c r="J903" s="369">
        <f>C858</f>
        <v>4825.7994259999996</v>
      </c>
      <c r="K903" s="369"/>
      <c r="L903" s="369"/>
      <c r="M903" s="369"/>
      <c r="N903" s="367"/>
      <c r="O903" s="1019"/>
    </row>
    <row r="904" spans="1:15" ht="11.5" customHeight="1">
      <c r="A904" s="1026"/>
      <c r="B904" s="369"/>
      <c r="C904" s="369"/>
      <c r="D904" s="369"/>
      <c r="E904" s="369"/>
      <c r="F904" s="369"/>
      <c r="G904" s="369"/>
      <c r="H904" s="369"/>
      <c r="I904" s="369"/>
      <c r="J904" s="369"/>
      <c r="K904" s="369"/>
      <c r="L904" s="369"/>
      <c r="M904" s="369"/>
      <c r="N904" s="367"/>
      <c r="O904" s="1019"/>
    </row>
    <row r="905" spans="1:15" ht="11.5" customHeight="1">
      <c r="A905" s="1026"/>
      <c r="B905" s="369"/>
      <c r="C905" s="369"/>
      <c r="D905" s="369"/>
      <c r="E905" s="369"/>
      <c r="F905" s="369"/>
      <c r="G905" s="369"/>
      <c r="H905" s="369"/>
      <c r="I905" s="369"/>
      <c r="J905" s="369"/>
      <c r="K905" s="369"/>
      <c r="L905" s="369"/>
      <c r="M905" s="369"/>
      <c r="N905" s="367"/>
      <c r="O905" s="1019"/>
    </row>
    <row r="906" spans="1:15" ht="11.5" customHeight="1">
      <c r="A906" s="1026"/>
      <c r="B906" s="632">
        <f>M906</f>
        <v>1755.0375111415156</v>
      </c>
      <c r="C906" s="632"/>
      <c r="D906" s="376">
        <f>M859</f>
        <v>2018.682974141758</v>
      </c>
      <c r="E906" s="369"/>
      <c r="F906" s="369"/>
      <c r="G906" s="374">
        <f>C858</f>
        <v>4825.7994259999996</v>
      </c>
      <c r="H906" s="369"/>
      <c r="I906" s="369">
        <f>C858</f>
        <v>4825.7994259999996</v>
      </c>
      <c r="J906" s="369"/>
      <c r="K906" s="369"/>
      <c r="L906" s="395">
        <f>M859</f>
        <v>2018.682974141758</v>
      </c>
      <c r="M906" s="813">
        <f>179.140532*(закулисье!$V$18*2*(H879/H263))</f>
        <v>1755.0375111415156</v>
      </c>
      <c r="N906" s="813"/>
      <c r="O906" s="1019"/>
    </row>
    <row r="907" spans="1:15" ht="11.5" customHeight="1">
      <c r="A907" s="1026"/>
      <c r="B907" s="632"/>
      <c r="C907" s="632"/>
      <c r="D907" s="369"/>
      <c r="E907" s="369"/>
      <c r="F907" s="369"/>
      <c r="G907" s="369"/>
      <c r="H907" s="367"/>
      <c r="I907" s="369"/>
      <c r="J907" s="369"/>
      <c r="K907" s="369"/>
      <c r="L907" s="394"/>
      <c r="M907" s="813"/>
      <c r="N907" s="813"/>
      <c r="O907" s="1019"/>
    </row>
    <row r="908" spans="1:15" ht="11.5" customHeight="1">
      <c r="A908" s="1026"/>
      <c r="B908" s="369"/>
      <c r="D908" s="369"/>
      <c r="E908" s="369"/>
      <c r="F908" s="369"/>
      <c r="G908" s="369"/>
      <c r="H908" s="800">
        <f>C859</f>
        <v>4811.2348759999995</v>
      </c>
      <c r="I908" s="800"/>
      <c r="J908" s="369"/>
      <c r="K908" s="369"/>
      <c r="L908" s="369"/>
      <c r="M908" s="367"/>
      <c r="N908" s="367"/>
      <c r="O908" s="1019"/>
    </row>
    <row r="909" spans="1:15" ht="11.5" customHeight="1">
      <c r="A909" s="1026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1019"/>
    </row>
    <row r="910" spans="1:15" ht="11.5" customHeight="1">
      <c r="A910" s="1026"/>
      <c r="B910" s="380"/>
      <c r="C910" s="380"/>
      <c r="D910" s="380"/>
      <c r="E910" s="380"/>
      <c r="F910" s="380"/>
      <c r="G910" s="380"/>
      <c r="H910" s="380"/>
      <c r="I910" s="380"/>
      <c r="J910" s="380"/>
      <c r="K910" s="380"/>
      <c r="L910" s="380"/>
      <c r="M910" s="380"/>
      <c r="N910" s="380"/>
      <c r="O910" s="1019"/>
    </row>
    <row r="911" spans="1:15" ht="11.5" customHeight="1">
      <c r="A911" s="1026"/>
      <c r="B911" s="380"/>
      <c r="C911" s="380"/>
      <c r="D911" s="380"/>
      <c r="E911" s="380"/>
      <c r="F911" s="380"/>
      <c r="G911" s="380"/>
      <c r="H911" s="380"/>
      <c r="I911" s="380"/>
      <c r="J911" s="380"/>
      <c r="K911" s="380"/>
      <c r="L911" s="380"/>
      <c r="M911" s="380"/>
      <c r="N911" s="380"/>
      <c r="O911" s="1019"/>
    </row>
    <row r="912" spans="1:15" ht="11.5" customHeight="1">
      <c r="A912" s="1026"/>
      <c r="B912" s="380"/>
      <c r="C912" s="380"/>
      <c r="D912" s="380"/>
      <c r="E912" s="380"/>
      <c r="F912" s="380"/>
      <c r="G912" s="380"/>
      <c r="H912" s="380"/>
      <c r="I912" s="380"/>
      <c r="J912" s="380"/>
      <c r="K912" s="380"/>
      <c r="L912" s="380"/>
      <c r="M912" s="380"/>
      <c r="N912" s="380"/>
      <c r="O912" s="1019"/>
    </row>
    <row r="913" spans="1:15" ht="11.5" customHeight="1">
      <c r="A913" s="1026"/>
      <c r="B913" s="380"/>
      <c r="C913" s="380"/>
      <c r="D913" s="367"/>
      <c r="E913" s="367"/>
      <c r="F913" s="380"/>
      <c r="G913" s="380"/>
      <c r="H913" s="380"/>
      <c r="I913" s="380"/>
      <c r="J913" s="380"/>
      <c r="K913" s="380"/>
      <c r="L913" s="380"/>
      <c r="M913" s="380"/>
      <c r="N913" s="380"/>
      <c r="O913" s="1019"/>
    </row>
    <row r="914" spans="1:15" ht="11.5" customHeight="1">
      <c r="A914" s="1026"/>
      <c r="B914" s="631">
        <f>M914</f>
        <v>1164.0005035935096</v>
      </c>
      <c r="C914" s="631"/>
      <c r="D914" s="797">
        <f>M858</f>
        <v>1976.7786305760687</v>
      </c>
      <c r="E914" s="797"/>
      <c r="F914" s="380"/>
      <c r="G914" s="380"/>
      <c r="H914" s="380"/>
      <c r="I914" s="380"/>
      <c r="J914" s="380"/>
      <c r="K914" s="796">
        <f>M858</f>
        <v>1976.7786305760687</v>
      </c>
      <c r="L914" s="796"/>
      <c r="M914" s="814">
        <f>118.812087*(закулисье!$V$18*2*(H879/H263))</f>
        <v>1164.0005035935096</v>
      </c>
      <c r="N914" s="814"/>
      <c r="O914" s="1019"/>
    </row>
    <row r="915" spans="1:15" ht="11.5" customHeight="1">
      <c r="A915" s="1026"/>
      <c r="B915" s="631"/>
      <c r="C915" s="631"/>
      <c r="D915" s="797"/>
      <c r="E915" s="797"/>
      <c r="F915" s="380"/>
      <c r="G915" s="380"/>
      <c r="H915" s="380"/>
      <c r="I915" s="380"/>
      <c r="J915" s="380"/>
      <c r="K915" s="796"/>
      <c r="L915" s="796"/>
      <c r="M915" s="814"/>
      <c r="N915" s="814"/>
      <c r="O915" s="1019"/>
    </row>
    <row r="916" spans="1:15" ht="11.5" customHeight="1">
      <c r="A916" s="1026"/>
      <c r="B916" s="380"/>
      <c r="C916" s="380"/>
      <c r="D916" s="367"/>
      <c r="E916" s="380"/>
      <c r="F916" s="380"/>
      <c r="G916" s="380"/>
      <c r="H916" s="380"/>
      <c r="I916" s="380"/>
      <c r="J916" s="380"/>
      <c r="K916" s="367"/>
      <c r="L916" s="367"/>
      <c r="M916" s="380"/>
      <c r="N916" s="380"/>
      <c r="O916" s="1019"/>
    </row>
    <row r="917" spans="1:15" ht="11.5" customHeight="1">
      <c r="A917" s="1026"/>
      <c r="B917" s="380"/>
      <c r="C917" s="380"/>
      <c r="D917" s="367"/>
      <c r="E917" s="380"/>
      <c r="F917" s="380"/>
      <c r="G917" s="367"/>
      <c r="H917" s="380"/>
      <c r="I917" s="380"/>
      <c r="J917" s="380"/>
      <c r="K917" s="367"/>
      <c r="L917" s="367"/>
      <c r="M917" s="380"/>
      <c r="N917" s="380"/>
      <c r="O917" s="1019"/>
    </row>
    <row r="918" spans="1:15" ht="11.5" customHeight="1">
      <c r="A918" s="1026"/>
      <c r="B918" s="380"/>
      <c r="C918" s="380"/>
      <c r="D918" s="380"/>
      <c r="E918" s="380"/>
      <c r="F918" s="367"/>
      <c r="G918" s="818">
        <f>M859</f>
        <v>2018.682974141758</v>
      </c>
      <c r="H918" s="380"/>
      <c r="I918" s="380"/>
      <c r="J918" s="380"/>
      <c r="K918" s="367"/>
      <c r="L918" s="367"/>
      <c r="M918" s="817">
        <f>41.762617*(закулисье!$V$18*2*(H879/H263))</f>
        <v>409.14782701681577</v>
      </c>
      <c r="N918" s="817"/>
      <c r="O918" s="1019"/>
    </row>
    <row r="919" spans="1:15" ht="11.5" customHeight="1">
      <c r="A919" s="1026"/>
      <c r="B919" s="380"/>
      <c r="C919" s="380"/>
      <c r="D919" s="380"/>
      <c r="E919" s="380"/>
      <c r="F919" s="367"/>
      <c r="G919" s="818"/>
      <c r="H919" s="380"/>
      <c r="I919" s="819">
        <f>M859</f>
        <v>2018.682974141758</v>
      </c>
      <c r="J919" s="380"/>
      <c r="K919" s="380"/>
      <c r="L919" s="380"/>
      <c r="M919" s="817"/>
      <c r="N919" s="817"/>
      <c r="O919" s="1019"/>
    </row>
    <row r="920" spans="1:15" ht="11.5" customHeight="1">
      <c r="A920" s="1026"/>
      <c r="B920" s="380"/>
      <c r="C920" s="380"/>
      <c r="D920" s="380"/>
      <c r="E920" s="380"/>
      <c r="F920" s="367"/>
      <c r="G920" s="818"/>
      <c r="H920" s="380"/>
      <c r="I920" s="819"/>
      <c r="J920" s="380"/>
      <c r="K920" s="380"/>
      <c r="L920" s="380"/>
      <c r="M920" s="817"/>
      <c r="N920" s="817"/>
      <c r="O920" s="1019"/>
    </row>
    <row r="921" spans="1:15" ht="11.5" customHeight="1">
      <c r="A921" s="1026"/>
      <c r="B921" s="380"/>
      <c r="C921" s="396">
        <f>C864</f>
        <v>389.74696089735528</v>
      </c>
      <c r="D921" s="402">
        <f>D864</f>
        <v>749.28105154162768</v>
      </c>
      <c r="E921" s="380"/>
      <c r="F921" s="380"/>
      <c r="G921" s="367"/>
      <c r="H921" s="380"/>
      <c r="I921" s="367"/>
      <c r="J921" s="380"/>
      <c r="K921" s="380"/>
      <c r="L921" s="403">
        <f>L864</f>
        <v>610.7028429851099</v>
      </c>
      <c r="M921" s="404">
        <f>M864</f>
        <v>222.20436116022003</v>
      </c>
      <c r="N921" s="380"/>
      <c r="O921" s="1019"/>
    </row>
    <row r="922" spans="1:15" ht="11.5" customHeight="1">
      <c r="A922" s="1026"/>
      <c r="B922" s="380"/>
      <c r="C922" s="397">
        <f>C863</f>
        <v>222.20436116022003</v>
      </c>
      <c r="D922" s="401">
        <f t="shared" ref="D922:L922" si="2">D863</f>
        <v>610.7028429851099</v>
      </c>
      <c r="E922" s="402">
        <f t="shared" si="2"/>
        <v>852.82817272486056</v>
      </c>
      <c r="F922" s="635">
        <f t="shared" si="2"/>
        <v>988.13633307416228</v>
      </c>
      <c r="G922" s="635"/>
      <c r="H922" s="399">
        <f t="shared" si="2"/>
        <v>990.15975383950649</v>
      </c>
      <c r="I922" s="401">
        <f t="shared" si="2"/>
        <v>990.15975383950649</v>
      </c>
      <c r="J922" s="398">
        <f t="shared" si="2"/>
        <v>988.13633307416228</v>
      </c>
      <c r="K922" s="398">
        <f t="shared" si="2"/>
        <v>852.82817272486056</v>
      </c>
      <c r="L922" s="400">
        <f t="shared" si="2"/>
        <v>749.28105154162768</v>
      </c>
      <c r="M922" s="398">
        <f t="shared" ref="M922" si="3">M863</f>
        <v>389.74696089735528</v>
      </c>
      <c r="N922" s="380"/>
      <c r="O922" s="1019"/>
    </row>
    <row r="923" spans="1:15" ht="11.5" customHeight="1">
      <c r="A923" s="1026"/>
      <c r="B923" s="380"/>
      <c r="E923" s="380"/>
      <c r="F923" s="380"/>
      <c r="G923" s="380"/>
      <c r="H923" s="380"/>
      <c r="I923" s="380"/>
      <c r="J923" s="380"/>
      <c r="K923" s="380"/>
      <c r="N923" s="380"/>
      <c r="O923" s="1019"/>
    </row>
    <row r="924" spans="1:15" ht="11.5" customHeight="1">
      <c r="A924" s="1036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019"/>
    </row>
    <row r="925" spans="1:15" ht="11.5" customHeight="1">
      <c r="A925" s="1036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019"/>
    </row>
    <row r="926" spans="1:15" s="366" customFormat="1" ht="11.5" customHeight="1">
      <c r="A926" s="1036"/>
      <c r="B926" s="680" t="s">
        <v>2897</v>
      </c>
      <c r="C926" s="680"/>
      <c r="D926" s="680"/>
      <c r="E926" s="680"/>
      <c r="F926" s="680"/>
      <c r="G926" s="680"/>
      <c r="H926" s="680"/>
      <c r="I926" s="680"/>
      <c r="J926" s="680"/>
      <c r="K926" s="680"/>
      <c r="L926" s="680"/>
      <c r="M926" s="680"/>
      <c r="N926" s="680"/>
      <c r="O926" s="1019"/>
    </row>
    <row r="927" spans="1:15" s="366" customFormat="1" ht="11.5" customHeight="1">
      <c r="A927" s="1036"/>
      <c r="B927" s="680"/>
      <c r="C927" s="680"/>
      <c r="D927" s="680"/>
      <c r="E927" s="680"/>
      <c r="F927" s="680"/>
      <c r="G927" s="680"/>
      <c r="H927" s="680"/>
      <c r="I927" s="680"/>
      <c r="J927" s="680"/>
      <c r="K927" s="680"/>
      <c r="L927" s="680"/>
      <c r="M927" s="680"/>
      <c r="N927" s="680"/>
      <c r="O927" s="1019"/>
    </row>
    <row r="928" spans="1:15" s="366" customFormat="1" ht="11.5" customHeight="1">
      <c r="A928" s="1036"/>
      <c r="B928" s="680"/>
      <c r="C928" s="680"/>
      <c r="D928" s="680"/>
      <c r="E928" s="680"/>
      <c r="F928" s="680"/>
      <c r="G928" s="680"/>
      <c r="H928" s="680"/>
      <c r="I928" s="680"/>
      <c r="J928" s="680"/>
      <c r="K928" s="680"/>
      <c r="L928" s="680"/>
      <c r="M928" s="680"/>
      <c r="N928" s="680"/>
      <c r="O928" s="1019"/>
    </row>
    <row r="929" spans="1:15" ht="11.5" customHeight="1" thickBot="1">
      <c r="A929" s="1036"/>
      <c r="B929" s="680"/>
      <c r="C929" s="680"/>
      <c r="D929" s="680"/>
      <c r="E929" s="680"/>
      <c r="F929" s="680"/>
      <c r="G929" s="680"/>
      <c r="H929" s="680"/>
      <c r="I929" s="680"/>
      <c r="J929" s="680"/>
      <c r="K929" s="680"/>
      <c r="L929" s="680"/>
      <c r="M929" s="680"/>
      <c r="N929" s="680"/>
      <c r="O929" s="1019"/>
    </row>
    <row r="930" spans="1:15" ht="11.5" customHeight="1" thickTop="1">
      <c r="A930" s="1036"/>
      <c r="B930" s="1114"/>
      <c r="C930" s="1115"/>
      <c r="D930" s="1115"/>
      <c r="E930" s="1118" t="s">
        <v>2894</v>
      </c>
      <c r="F930" s="1118"/>
      <c r="G930" s="1118"/>
      <c r="H930" s="1118"/>
      <c r="I930" s="1118"/>
      <c r="J930" s="1118"/>
      <c r="K930" s="1115"/>
      <c r="L930" s="1115"/>
      <c r="M930" s="1115"/>
      <c r="N930" s="1116"/>
      <c r="O930" s="1019"/>
    </row>
    <row r="931" spans="1:15" ht="11.5" customHeight="1">
      <c r="A931" s="1036"/>
      <c r="B931" s="1117"/>
      <c r="C931" s="996"/>
      <c r="D931" s="996"/>
      <c r="E931" s="1119"/>
      <c r="F931" s="1119"/>
      <c r="G931" s="1119"/>
      <c r="H931" s="1119"/>
      <c r="I931" s="1119"/>
      <c r="J931" s="1119"/>
      <c r="K931" s="996"/>
      <c r="L931" s="996"/>
      <c r="M931" s="996"/>
      <c r="N931" s="1036"/>
      <c r="O931" s="1019"/>
    </row>
    <row r="932" spans="1:15" ht="11.5" customHeight="1">
      <c r="A932" s="1027" t="str">
        <f>HYPERLINK("[Proekt-kalkulyator dlya 3 chastotyi kristallicheskogo kupola.xlsx]F1133","В КОНЕЦ")</f>
        <v>В КОНЕЦ</v>
      </c>
      <c r="B932" s="682" t="s">
        <v>856</v>
      </c>
      <c r="C932" s="682"/>
      <c r="D932" s="682"/>
      <c r="E932" s="682"/>
      <c r="F932" s="682"/>
      <c r="G932" s="682"/>
      <c r="H932" s="683"/>
      <c r="I932" s="820" t="s">
        <v>641</v>
      </c>
      <c r="J932" s="820"/>
      <c r="K932" s="820"/>
      <c r="L932" s="820"/>
      <c r="M932" s="820"/>
      <c r="N932" s="153"/>
      <c r="O932" s="1019"/>
    </row>
    <row r="933" spans="1:15" ht="13.5" customHeight="1">
      <c r="A933" s="1028"/>
      <c r="B933" s="684"/>
      <c r="C933" s="684"/>
      <c r="D933" s="684"/>
      <c r="E933" s="684"/>
      <c r="F933" s="684"/>
      <c r="G933" s="684"/>
      <c r="H933" s="685"/>
      <c r="I933" s="820"/>
      <c r="J933" s="820"/>
      <c r="K933" s="820"/>
      <c r="L933" s="820"/>
      <c r="M933" s="820"/>
      <c r="N933" s="153"/>
      <c r="O933" s="1019"/>
    </row>
    <row r="934" spans="1:15" ht="13.5" customHeight="1">
      <c r="A934" s="1029" t="str">
        <f>HYPERLINK("[Proekt-kalkulyator dlya 3 chastotyi kristallicheskogo kupola.xlsx]G475","КАРКАСЫ")</f>
        <v>КАРКАСЫ</v>
      </c>
      <c r="B934" s="686" t="s">
        <v>671</v>
      </c>
      <c r="C934" s="686"/>
      <c r="D934" s="687"/>
      <c r="E934" s="815" t="s">
        <v>857</v>
      </c>
      <c r="F934" s="815" t="s">
        <v>858</v>
      </c>
      <c r="G934" s="690" t="s">
        <v>2885</v>
      </c>
      <c r="H934" s="690"/>
      <c r="I934" s="821" t="s">
        <v>2896</v>
      </c>
      <c r="J934" s="690"/>
      <c r="K934" s="690"/>
      <c r="L934" s="690" t="s">
        <v>2886</v>
      </c>
      <c r="M934" s="690"/>
      <c r="N934" s="380"/>
      <c r="O934" s="1019"/>
    </row>
    <row r="935" spans="1:15" ht="13.5" customHeight="1">
      <c r="A935" s="1030"/>
      <c r="B935" s="688"/>
      <c r="C935" s="688"/>
      <c r="D935" s="689"/>
      <c r="E935" s="816"/>
      <c r="F935" s="816"/>
      <c r="G935" s="690"/>
      <c r="H935" s="690"/>
      <c r="I935" s="821"/>
      <c r="J935" s="690"/>
      <c r="K935" s="690"/>
      <c r="L935" s="690"/>
      <c r="M935" s="690"/>
      <c r="N935" s="380"/>
      <c r="O935" s="1019"/>
    </row>
    <row r="936" spans="1:15" ht="13.5" customHeight="1">
      <c r="A936" s="1027" t="str">
        <f>HYPERLINK("[Proekt-kalkulyator dlya 3 chastotyi kristallicheskogo kupola.xlsx]K505","наполнение")</f>
        <v>наполнение</v>
      </c>
      <c r="B936" s="630" t="s">
        <v>859</v>
      </c>
      <c r="C936" s="630"/>
      <c r="D936" s="630"/>
      <c r="E936" s="415">
        <f>(((Заявка!J791+J778+150)/1000)*4)*N759</f>
        <v>94.154759806343932</v>
      </c>
      <c r="F936" s="410">
        <f>'фундамент закулисье'!K36*E936</f>
        <v>58.093486800514206</v>
      </c>
      <c r="G936" s="419"/>
      <c r="H936" s="431"/>
      <c r="I936" s="157"/>
      <c r="J936" s="420">
        <v>30000</v>
      </c>
      <c r="K936" s="423" t="str">
        <f>$B$103</f>
        <v>руб</v>
      </c>
      <c r="L936" s="425">
        <f>J936*(F936/1000)</f>
        <v>1742.8046040154261</v>
      </c>
      <c r="M936" s="427" t="str">
        <f>$B$103</f>
        <v>руб</v>
      </c>
      <c r="N936" s="380"/>
      <c r="O936" s="1019"/>
    </row>
    <row r="937" spans="1:15" ht="13.5" customHeight="1">
      <c r="A937" s="1028"/>
      <c r="B937" s="630" t="s">
        <v>2875</v>
      </c>
      <c r="C937" s="630"/>
      <c r="D937" s="630"/>
      <c r="E937" s="415">
        <f>(('фундамент закулисье'!K31*((Заявка!J791+Заявка!J765)/400))+'фундамент закулисье'!K31)*N759</f>
        <v>48.353793659223719</v>
      </c>
      <c r="F937" s="410">
        <f>'фундамент закулисье'!K24*E937</f>
        <v>19.099748495393371</v>
      </c>
      <c r="G937" s="413"/>
      <c r="H937" s="431"/>
      <c r="I937" s="159"/>
      <c r="J937" s="418">
        <v>30000</v>
      </c>
      <c r="K937" s="421" t="str">
        <f t="shared" ref="K937:K943" si="4">$B$103</f>
        <v>руб</v>
      </c>
      <c r="L937" s="425">
        <f>J937*(F937/1000)</f>
        <v>572.99245486180121</v>
      </c>
      <c r="M937" s="427" t="str">
        <f t="shared" ref="M937:M943" si="5">$B$103</f>
        <v>руб</v>
      </c>
      <c r="N937" s="380"/>
      <c r="O937" s="1019"/>
    </row>
    <row r="938" spans="1:15" ht="13.5" customHeight="1">
      <c r="A938" s="1029" t="str">
        <f>HYPERLINK("[Proekt-kalkulyator dlya 3 chastotyi kristallicheskogo kupola.xlsx]K745","ОБОЛОЧКА")</f>
        <v>ОБОЛОЧКА</v>
      </c>
      <c r="B938" s="630" t="s">
        <v>860</v>
      </c>
      <c r="C938" s="630"/>
      <c r="D938" s="630"/>
      <c r="E938" s="415"/>
      <c r="F938" s="411">
        <f>G938*2400</f>
        <v>3199.4051033679521</v>
      </c>
      <c r="G938" s="432">
        <f>('фундамент закулисье'!S29+(((Заявка!J791+Заявка!J765-'фундамент закулисье'!T29)/1000)*(((Заявка!L775/2)/1000)*((Заявка!L775/2)/1000)*3.14159265358979)))*N759</f>
        <v>1.3330854597366466</v>
      </c>
      <c r="H938" s="431" t="s">
        <v>72</v>
      </c>
      <c r="I938" s="159"/>
      <c r="J938" s="418">
        <v>3500</v>
      </c>
      <c r="K938" s="421" t="str">
        <f t="shared" si="4"/>
        <v>руб</v>
      </c>
      <c r="L938" s="425">
        <f>J938*G938</f>
        <v>4665.7991090782634</v>
      </c>
      <c r="M938" s="427" t="str">
        <f t="shared" si="5"/>
        <v>руб</v>
      </c>
      <c r="N938" s="380"/>
      <c r="O938" s="1019"/>
    </row>
    <row r="939" spans="1:15" ht="13.5" customHeight="1">
      <c r="A939" s="1030"/>
      <c r="B939" s="630" t="s">
        <v>861</v>
      </c>
      <c r="C939" s="630"/>
      <c r="D939" s="630"/>
      <c r="E939" s="415">
        <f>((J791-400)/1000)*N759</f>
        <v>13.788689951585983</v>
      </c>
      <c r="F939" s="411">
        <f>E939*1.33</f>
        <v>18.338957635609358</v>
      </c>
      <c r="G939" s="410">
        <f>ROUNDUP(E939/15,0)</f>
        <v>1</v>
      </c>
      <c r="H939" s="431" t="s">
        <v>2893</v>
      </c>
      <c r="I939" s="159"/>
      <c r="J939" s="418">
        <v>250</v>
      </c>
      <c r="K939" s="424" t="str">
        <f t="shared" si="4"/>
        <v>руб</v>
      </c>
      <c r="L939" s="425">
        <f>J939*G939</f>
        <v>250</v>
      </c>
      <c r="M939" s="427" t="str">
        <f t="shared" si="5"/>
        <v>руб</v>
      </c>
      <c r="N939" s="380"/>
      <c r="O939" s="1019"/>
    </row>
    <row r="940" spans="1:15" ht="13.5" customHeight="1">
      <c r="A940" s="1031" t="str">
        <f>HYPERLINK("[Proekt-kalkulyator dlya 3 chastotyi kristallicheskogo kupola.xlsx]J942","ФуНДАМЕНТ")</f>
        <v>ФуНДАМЕНТ</v>
      </c>
      <c r="B940" s="630" t="str">
        <f>"Труба ф             мм х "&amp;(L775+J775)&amp;"мм"</f>
        <v>Труба ф             мм х 450мм</v>
      </c>
      <c r="C940" s="630"/>
      <c r="D940" s="630"/>
      <c r="E940" s="416">
        <f>((L775+J775)*N759)/1000</f>
        <v>6.75</v>
      </c>
      <c r="F940" s="412">
        <f>E940*'фундамент закулисье'!T24</f>
        <v>101.8575</v>
      </c>
      <c r="G940" s="410">
        <f>N759</f>
        <v>15</v>
      </c>
      <c r="H940" s="431" t="s">
        <v>2892</v>
      </c>
      <c r="I940" s="159"/>
      <c r="J940" s="418">
        <v>45000</v>
      </c>
      <c r="K940" s="421" t="str">
        <f t="shared" si="4"/>
        <v>руб</v>
      </c>
      <c r="L940" s="425">
        <f>J940*(F940/1000)</f>
        <v>4583.5875000000005</v>
      </c>
      <c r="M940" s="427" t="str">
        <f t="shared" si="5"/>
        <v>руб</v>
      </c>
      <c r="N940" s="380"/>
      <c r="O940" s="1019"/>
    </row>
    <row r="941" spans="1:15" ht="13.5" customHeight="1">
      <c r="A941" s="1032"/>
      <c r="B941" s="630" t="s">
        <v>2891</v>
      </c>
      <c r="C941" s="630"/>
      <c r="D941" s="630"/>
      <c r="E941" s="409"/>
      <c r="F941" s="422"/>
      <c r="G941" s="414">
        <f>15*2</f>
        <v>30</v>
      </c>
      <c r="H941" s="431" t="s">
        <v>65</v>
      </c>
      <c r="I941" s="159"/>
      <c r="J941" s="418">
        <v>50</v>
      </c>
      <c r="K941" s="421" t="str">
        <f t="shared" si="4"/>
        <v>руб</v>
      </c>
      <c r="L941" s="425">
        <f>J941*G941</f>
        <v>1500</v>
      </c>
      <c r="M941" s="427" t="str">
        <f t="shared" si="5"/>
        <v>руб</v>
      </c>
      <c r="N941" s="380"/>
      <c r="O941" s="1019"/>
    </row>
    <row r="942" spans="1:15" ht="13.5" customHeight="1">
      <c r="A942" s="1029" t="str">
        <f>HYPERLINK("[Proekt-kalkulyator dlya 3 chastotyi kristallicheskogo kupola.xlsx]K995","перекрытие п.")</f>
        <v>перекрытие п.</v>
      </c>
      <c r="B942" s="630" t="str">
        <f>G779</f>
        <v>Оголовок для винтовой сваи 250х250 мм</v>
      </c>
      <c r="C942" s="630"/>
      <c r="D942" s="630"/>
      <c r="E942" s="409"/>
      <c r="F942" s="422"/>
      <c r="G942" s="414">
        <f>N759</f>
        <v>15</v>
      </c>
      <c r="H942" s="431" t="s">
        <v>65</v>
      </c>
      <c r="I942" s="159"/>
      <c r="J942" s="418">
        <v>300</v>
      </c>
      <c r="K942" s="421" t="str">
        <f t="shared" si="4"/>
        <v>руб</v>
      </c>
      <c r="L942" s="425">
        <f>G942*J942</f>
        <v>4500</v>
      </c>
      <c r="M942" s="427" t="str">
        <f t="shared" si="5"/>
        <v>руб</v>
      </c>
      <c r="N942" s="380"/>
      <c r="O942" s="1017"/>
    </row>
    <row r="943" spans="1:15" ht="13.5" customHeight="1">
      <c r="A943" s="1030"/>
      <c r="B943" s="630" t="s">
        <v>2879</v>
      </c>
      <c r="C943" s="630"/>
      <c r="D943" s="630"/>
      <c r="E943" s="409"/>
      <c r="F943" s="422"/>
      <c r="G943" s="414">
        <f>N759*6</f>
        <v>90</v>
      </c>
      <c r="H943" s="431" t="s">
        <v>65</v>
      </c>
      <c r="I943" s="159"/>
      <c r="J943" s="418">
        <v>13</v>
      </c>
      <c r="K943" s="421" t="str">
        <f t="shared" si="4"/>
        <v>руб</v>
      </c>
      <c r="L943" s="425">
        <f>G943*J943</f>
        <v>1170</v>
      </c>
      <c r="M943" s="427" t="str">
        <f t="shared" si="5"/>
        <v>руб</v>
      </c>
      <c r="N943" s="380"/>
      <c r="O943" s="1019"/>
    </row>
    <row r="944" spans="1:15" ht="13.5" customHeight="1">
      <c r="A944" s="1029" t="str">
        <f>HYPERLINK("[Proekt-kalkulyator dlya 3 chastotyi kristallicheskogo kupola.xlsx]K1114","перекрытие в.")</f>
        <v>перекрытие в.</v>
      </c>
      <c r="B944" s="354"/>
      <c r="C944" s="354"/>
      <c r="D944" s="354"/>
      <c r="E944" s="354"/>
      <c r="F944" s="354"/>
      <c r="H944" s="354"/>
      <c r="I944" s="351"/>
      <c r="J944" s="317"/>
      <c r="K944" s="317"/>
      <c r="L944" s="417"/>
      <c r="M944" s="428"/>
      <c r="N944" s="317"/>
      <c r="O944" s="1019"/>
    </row>
    <row r="945" spans="1:15" ht="13.5" customHeight="1">
      <c r="A945" s="1030"/>
      <c r="B945" s="676" t="s">
        <v>2887</v>
      </c>
      <c r="C945" s="676"/>
      <c r="D945" s="676"/>
      <c r="E945" s="308"/>
      <c r="G945" s="678"/>
      <c r="J945" s="153"/>
      <c r="K945" s="153"/>
      <c r="L945" s="829">
        <f>SUM(L936:L943)</f>
        <v>18985.183667955491</v>
      </c>
      <c r="M945" s="428"/>
      <c r="N945" s="153"/>
      <c r="O945" s="1019"/>
    </row>
    <row r="946" spans="1:15" ht="13.5" customHeight="1">
      <c r="A946" s="1034" t="str">
        <f>HYPERLINK("[Proekt-kalkulyator dlya 3 chastotyi kristallicheskogo kupola.xlsx]$I$10","В начало")</f>
        <v>В начало</v>
      </c>
      <c r="B946" s="677"/>
      <c r="C946" s="677"/>
      <c r="D946" s="677"/>
      <c r="E946" s="350"/>
      <c r="F946" s="157"/>
      <c r="G946" s="679"/>
      <c r="H946" s="157"/>
      <c r="I946" s="157"/>
      <c r="J946" s="430"/>
      <c r="K946" s="430"/>
      <c r="L946" s="830"/>
      <c r="M946" s="429" t="str">
        <f t="shared" ref="M946" si="6">$B$103</f>
        <v>руб</v>
      </c>
      <c r="N946" s="153"/>
      <c r="O946" s="1019"/>
    </row>
    <row r="947" spans="1:15" ht="11.5" customHeight="1" thickBot="1">
      <c r="A947" s="1034"/>
      <c r="B947" s="153"/>
      <c r="C947" s="153"/>
      <c r="D947" s="153"/>
      <c r="E947" s="426"/>
      <c r="J947" s="153"/>
      <c r="K947" s="153"/>
      <c r="L947" s="153"/>
      <c r="M947" s="153"/>
      <c r="N947" s="153"/>
      <c r="O947" s="1019"/>
    </row>
    <row r="948" spans="1:15" ht="11.5" customHeight="1" thickTop="1">
      <c r="A948" s="1036"/>
      <c r="B948" s="1114"/>
      <c r="C948" s="1115"/>
      <c r="D948" s="1115"/>
      <c r="E948" s="1110" t="s">
        <v>2898</v>
      </c>
      <c r="F948" s="1110"/>
      <c r="G948" s="1110"/>
      <c r="H948" s="1110"/>
      <c r="I948" s="1110"/>
      <c r="J948" s="1110"/>
      <c r="K948" s="1110"/>
      <c r="L948" s="1115"/>
      <c r="M948" s="1115"/>
      <c r="N948" s="1116"/>
      <c r="O948" s="1019"/>
    </row>
    <row r="949" spans="1:15" ht="11.5" customHeight="1">
      <c r="A949" s="1036"/>
      <c r="B949" s="1117"/>
      <c r="C949" s="996"/>
      <c r="D949" s="996"/>
      <c r="E949" s="1108"/>
      <c r="F949" s="1108"/>
      <c r="G949" s="1108"/>
      <c r="H949" s="1108"/>
      <c r="I949" s="1108"/>
      <c r="J949" s="1108"/>
      <c r="K949" s="1108"/>
      <c r="L949" s="996"/>
      <c r="M949" s="996"/>
      <c r="N949" s="1036"/>
      <c r="O949" s="1019"/>
    </row>
    <row r="950" spans="1:15" ht="11.5" customHeight="1">
      <c r="A950" s="1036"/>
      <c r="B950" s="1117"/>
      <c r="C950" s="996"/>
      <c r="D950" s="996"/>
      <c r="E950" s="1108"/>
      <c r="F950" s="1108"/>
      <c r="G950" s="1108"/>
      <c r="H950" s="1108"/>
      <c r="I950" s="1108"/>
      <c r="J950" s="1108"/>
      <c r="K950" s="1108"/>
      <c r="L950" s="996"/>
      <c r="M950" s="996"/>
      <c r="N950" s="1036"/>
      <c r="O950" s="1019"/>
    </row>
    <row r="951" spans="1:15" ht="11.5" customHeight="1">
      <c r="A951" s="1036"/>
      <c r="B951" s="1117"/>
      <c r="C951" s="996"/>
      <c r="D951" s="996"/>
      <c r="E951" s="1108"/>
      <c r="F951" s="1108"/>
      <c r="G951" s="1108"/>
      <c r="H951" s="1108"/>
      <c r="I951" s="1108"/>
      <c r="J951" s="1108"/>
      <c r="K951" s="1108"/>
      <c r="L951" s="996"/>
      <c r="M951" s="996"/>
      <c r="N951" s="1036"/>
      <c r="O951" s="1019"/>
    </row>
    <row r="952" spans="1:15" ht="11.5" customHeight="1">
      <c r="A952" s="1036"/>
      <c r="B952" s="153"/>
      <c r="C952" s="153"/>
      <c r="D952" s="153"/>
      <c r="E952" s="153"/>
      <c r="J952" s="153"/>
      <c r="K952" s="153"/>
      <c r="L952" s="153"/>
      <c r="M952" s="153"/>
      <c r="N952" s="153"/>
      <c r="O952" s="1019"/>
    </row>
    <row r="953" spans="1:15" ht="11.5" customHeight="1">
      <c r="A953" s="1036"/>
      <c r="B953" s="153"/>
      <c r="C953" s="153"/>
      <c r="D953" s="153"/>
      <c r="E953" s="831" t="s">
        <v>2904</v>
      </c>
      <c r="F953" s="831"/>
      <c r="G953" s="831"/>
      <c r="H953" s="831"/>
      <c r="I953" s="831"/>
      <c r="J953" s="831"/>
      <c r="K953" s="831"/>
      <c r="L953" s="153"/>
      <c r="M953" s="153"/>
      <c r="N953" s="153"/>
      <c r="O953" s="1019"/>
    </row>
    <row r="954" spans="1:15" ht="11.5" customHeight="1">
      <c r="A954" s="1036"/>
      <c r="B954" s="153"/>
      <c r="C954" s="153"/>
      <c r="D954" s="153"/>
      <c r="E954" s="831"/>
      <c r="F954" s="831"/>
      <c r="G954" s="831"/>
      <c r="H954" s="831"/>
      <c r="I954" s="831"/>
      <c r="J954" s="831"/>
      <c r="K954" s="831"/>
      <c r="L954" s="153"/>
      <c r="M954" s="153"/>
      <c r="N954" s="153"/>
      <c r="O954" s="1019"/>
    </row>
    <row r="955" spans="1:15" ht="11.5" customHeight="1">
      <c r="A955" s="1036"/>
      <c r="B955" s="153"/>
      <c r="C955" s="153"/>
      <c r="D955" s="153"/>
      <c r="E955" s="153"/>
      <c r="J955" s="153"/>
      <c r="K955" s="153"/>
      <c r="L955" s="153"/>
      <c r="M955" s="153"/>
      <c r="N955" s="153"/>
      <c r="O955" s="1019"/>
    </row>
    <row r="956" spans="1:15" ht="11.5" customHeight="1">
      <c r="A956" s="1036"/>
      <c r="B956" s="153"/>
      <c r="E956" s="153"/>
      <c r="J956" s="153"/>
      <c r="K956" s="153"/>
      <c r="L956" s="153"/>
      <c r="M956" s="153"/>
      <c r="N956" s="153"/>
      <c r="O956" s="1019"/>
    </row>
    <row r="957" spans="1:15" ht="11.5" customHeight="1">
      <c r="A957" s="1036"/>
      <c r="B957" s="153"/>
      <c r="C957" s="153"/>
      <c r="D957" s="153"/>
      <c r="E957" s="153"/>
      <c r="J957" s="153"/>
      <c r="K957" s="153"/>
      <c r="L957" s="153"/>
      <c r="M957" s="153"/>
      <c r="N957" s="153"/>
      <c r="O957" s="1019"/>
    </row>
    <row r="958" spans="1:15" ht="11.5" customHeight="1">
      <c r="A958" s="1036"/>
      <c r="B958" s="153"/>
      <c r="C958" s="153"/>
      <c r="D958" s="153"/>
      <c r="E958" s="153"/>
      <c r="G958" s="301"/>
      <c r="H958" s="306"/>
      <c r="J958" s="153"/>
      <c r="K958" s="153"/>
      <c r="L958" s="153"/>
      <c r="M958" s="153"/>
      <c r="N958" s="153"/>
      <c r="O958" s="1019"/>
    </row>
    <row r="959" spans="1:15" ht="11.5" customHeight="1">
      <c r="A959" s="1036"/>
      <c r="B959" s="153"/>
      <c r="C959" s="153"/>
      <c r="D959" s="153"/>
      <c r="E959" s="153"/>
      <c r="G959" s="445"/>
      <c r="H959" s="445"/>
      <c r="J959" s="153"/>
      <c r="K959" s="153"/>
      <c r="L959" s="153"/>
      <c r="M959" s="153"/>
      <c r="N959" s="153"/>
      <c r="O959" s="1019"/>
    </row>
    <row r="960" spans="1:15" ht="11.5" customHeight="1">
      <c r="A960" s="1036"/>
      <c r="B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019"/>
    </row>
    <row r="961" spans="1:15" ht="11.5" customHeight="1">
      <c r="A961" s="1036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019"/>
    </row>
    <row r="962" spans="1:15" ht="11.5" customHeight="1">
      <c r="A962" s="1036"/>
      <c r="B962" s="153"/>
      <c r="C962" s="629" t="s">
        <v>2905</v>
      </c>
      <c r="D962" s="629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019"/>
    </row>
    <row r="963" spans="1:15" ht="11.5" customHeight="1">
      <c r="A963" s="1036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019"/>
    </row>
    <row r="964" spans="1:15" ht="11.5" customHeight="1">
      <c r="A964" s="1036"/>
      <c r="B964" s="153"/>
      <c r="C964" s="629" t="str">
        <f>"Доска обвязочная "&amp;E971&amp;" х "&amp;G971&amp;" мм"</f>
        <v>Доска обвязочная 200 х 50 мм</v>
      </c>
      <c r="D964" s="629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019"/>
    </row>
    <row r="965" spans="1:15" ht="11.5" customHeight="1">
      <c r="A965" s="1036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019"/>
    </row>
    <row r="966" spans="1:15" ht="11.5" customHeight="1">
      <c r="A966" s="1036"/>
      <c r="B966" s="153"/>
      <c r="C966" s="629" t="s">
        <v>2909</v>
      </c>
      <c r="D966" s="629"/>
      <c r="E966" s="438" t="str">
        <f>J769&amp;"х"&amp;J769</f>
        <v>200х200</v>
      </c>
      <c r="F966" s="440" t="s">
        <v>2889</v>
      </c>
      <c r="G966" s="153"/>
      <c r="H966" s="153"/>
      <c r="I966" s="153"/>
      <c r="J966" s="153"/>
      <c r="K966" s="153"/>
      <c r="L966" s="153"/>
      <c r="M966" s="153"/>
      <c r="N966" s="153"/>
      <c r="O966" s="1019"/>
    </row>
    <row r="967" spans="1:15" ht="11.5" customHeight="1">
      <c r="A967" s="1036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019"/>
    </row>
    <row r="968" spans="1:15" ht="11.5" customHeight="1">
      <c r="A968" s="1036"/>
      <c r="B968" s="153"/>
      <c r="C968" s="629" t="s">
        <v>2908</v>
      </c>
      <c r="D968" s="629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019"/>
    </row>
    <row r="969" spans="1:15" ht="11.5" customHeight="1">
      <c r="A969" s="1036"/>
      <c r="B969" s="153"/>
      <c r="C969" s="153"/>
      <c r="D969" s="153"/>
      <c r="E969" s="439"/>
      <c r="F969" s="153"/>
      <c r="G969" s="153"/>
      <c r="H969" s="153"/>
      <c r="I969" s="153"/>
      <c r="J969" s="153"/>
      <c r="K969" s="153"/>
      <c r="L969" s="153"/>
      <c r="M969" s="153"/>
      <c r="N969" s="153"/>
      <c r="O969" s="1019"/>
    </row>
    <row r="970" spans="1:15" ht="11.5" customHeight="1">
      <c r="A970" s="1036"/>
      <c r="B970" s="153"/>
      <c r="C970" s="629" t="str">
        <f>"Контррейка 25х"&amp;G971&amp;"мм"</f>
        <v>Контррейка 25х50мм</v>
      </c>
      <c r="D970" s="629"/>
      <c r="E970" s="437"/>
      <c r="F970" s="153"/>
      <c r="G970" s="153"/>
      <c r="H970" s="153"/>
      <c r="I970" s="153"/>
      <c r="J970" s="153"/>
      <c r="K970" s="153"/>
      <c r="L970" s="153"/>
      <c r="M970" s="153"/>
      <c r="N970" s="153"/>
      <c r="O970" s="1019"/>
    </row>
    <row r="971" spans="1:15" ht="11.5" customHeight="1">
      <c r="A971" s="1036"/>
      <c r="B971" s="153"/>
      <c r="C971" s="153"/>
      <c r="D971" s="153"/>
      <c r="E971" s="674">
        <v>200</v>
      </c>
      <c r="F971" s="675" t="s">
        <v>795</v>
      </c>
      <c r="G971" s="674">
        <v>50</v>
      </c>
      <c r="H971" s="153"/>
      <c r="I971" s="153"/>
      <c r="J971" s="153"/>
      <c r="K971" s="153"/>
      <c r="L971" s="153"/>
      <c r="M971" s="153"/>
      <c r="N971" s="153"/>
      <c r="O971" s="1019"/>
    </row>
    <row r="972" spans="1:15" ht="11.5" customHeight="1">
      <c r="A972" s="1036"/>
      <c r="B972" s="153"/>
      <c r="C972" s="629" t="s">
        <v>2911</v>
      </c>
      <c r="D972" s="629"/>
      <c r="E972" s="674"/>
      <c r="F972" s="675"/>
      <c r="G972" s="674"/>
      <c r="H972" s="153" t="s">
        <v>2889</v>
      </c>
      <c r="I972" s="153"/>
      <c r="J972" s="153"/>
      <c r="K972" s="153"/>
      <c r="L972" s="153"/>
      <c r="M972" s="153"/>
      <c r="N972" s="153"/>
      <c r="O972" s="1019"/>
    </row>
    <row r="973" spans="1:15" ht="11.5" customHeight="1">
      <c r="A973" s="1036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019"/>
    </row>
    <row r="974" spans="1:15" ht="11.5" customHeight="1">
      <c r="A974" s="1036"/>
      <c r="B974" s="153"/>
      <c r="C974" s="629" t="s">
        <v>2906</v>
      </c>
      <c r="D974" s="629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019"/>
    </row>
    <row r="975" spans="1:15" ht="11.5" customHeight="1">
      <c r="A975" s="1036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019"/>
    </row>
    <row r="976" spans="1:15" ht="11.5" customHeight="1">
      <c r="A976" s="1036"/>
      <c r="B976" s="153"/>
      <c r="C976" s="629" t="str">
        <f>"Утеплитель (вермикулит )"&amp;(E971-25)&amp;"мм"</f>
        <v>Утеплитель (вермикулит )175мм</v>
      </c>
      <c r="D976" s="629"/>
      <c r="E976" s="433"/>
      <c r="F976" s="438"/>
      <c r="G976" s="153"/>
      <c r="H976" s="153"/>
      <c r="I976" s="153"/>
      <c r="J976" s="153"/>
      <c r="K976" s="153"/>
      <c r="L976" s="153"/>
      <c r="M976" s="153"/>
      <c r="N976" s="153"/>
      <c r="O976" s="1019"/>
    </row>
    <row r="977" spans="1:15" ht="11.5" customHeight="1">
      <c r="A977" s="1036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019"/>
    </row>
    <row r="978" spans="1:15" ht="11.5" customHeight="1">
      <c r="A978" s="1036"/>
      <c r="B978" s="153"/>
      <c r="C978" s="629" t="s">
        <v>2907</v>
      </c>
      <c r="D978" s="629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019"/>
    </row>
    <row r="979" spans="1:15" ht="11.5" customHeight="1">
      <c r="A979" s="1036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019"/>
    </row>
    <row r="980" spans="1:15" ht="11.5" customHeight="1">
      <c r="A980" s="1036"/>
      <c r="B980" s="153"/>
      <c r="C980" s="629" t="str">
        <f>"Полочка под черновой пол (Доска"&amp;(50+G971)&amp;"х25мм)"</f>
        <v>Полочка под черновой пол (Доска100х25мм)</v>
      </c>
      <c r="D980" s="629"/>
      <c r="E980" s="629"/>
      <c r="F980" s="629"/>
      <c r="G980" s="153"/>
      <c r="H980" s="153"/>
      <c r="I980" s="153"/>
      <c r="J980" s="153"/>
      <c r="K980" s="153"/>
      <c r="L980" s="153"/>
      <c r="M980" s="153"/>
      <c r="N980" s="153"/>
      <c r="O980" s="1019"/>
    </row>
    <row r="981" spans="1:15" ht="11.5" customHeight="1">
      <c r="A981" s="1036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019"/>
    </row>
    <row r="982" spans="1:15" ht="11.5" customHeight="1">
      <c r="A982" s="1036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019"/>
    </row>
    <row r="983" spans="1:15" ht="11.5" customHeight="1" thickBot="1">
      <c r="A983" s="1036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019"/>
    </row>
    <row r="984" spans="1:15" ht="11.5" customHeight="1" thickTop="1">
      <c r="A984" s="1036"/>
      <c r="B984" s="1114"/>
      <c r="C984" s="1115"/>
      <c r="D984" s="1115"/>
      <c r="E984" s="1115"/>
      <c r="F984" s="1110" t="s">
        <v>2910</v>
      </c>
      <c r="G984" s="1110"/>
      <c r="H984" s="1110"/>
      <c r="I984" s="1110"/>
      <c r="J984" s="1110"/>
      <c r="K984" s="1115"/>
      <c r="L984" s="1115"/>
      <c r="M984" s="1115"/>
      <c r="N984" s="1116"/>
      <c r="O984" s="1019"/>
    </row>
    <row r="985" spans="1:15" ht="11.5" customHeight="1">
      <c r="A985" s="1036"/>
      <c r="B985" s="1117"/>
      <c r="C985" s="996"/>
      <c r="D985" s="996"/>
      <c r="E985" s="996"/>
      <c r="F985" s="1108"/>
      <c r="G985" s="1108"/>
      <c r="H985" s="1108"/>
      <c r="I985" s="1108"/>
      <c r="J985" s="1108"/>
      <c r="K985" s="996"/>
      <c r="L985" s="996"/>
      <c r="M985" s="996"/>
      <c r="N985" s="1036"/>
      <c r="O985" s="1019"/>
    </row>
    <row r="986" spans="1:15" ht="15" customHeight="1">
      <c r="A986" s="1027" t="str">
        <f>HYPERLINK("[Proekt-kalkulyator dlya 3 chastotyi kristallicheskogo kupola.xlsx]F1133","В КОНЕЦ")</f>
        <v>В КОНЕЦ</v>
      </c>
      <c r="B986" s="803" t="s">
        <v>671</v>
      </c>
      <c r="C986" s="803"/>
      <c r="D986" s="803"/>
      <c r="E986" s="803"/>
      <c r="F986" s="804"/>
      <c r="G986" s="640" t="s">
        <v>672</v>
      </c>
      <c r="H986" s="641"/>
      <c r="I986" s="639" t="s">
        <v>816</v>
      </c>
      <c r="J986" s="641"/>
      <c r="K986" s="639" t="s">
        <v>680</v>
      </c>
      <c r="L986" s="641"/>
      <c r="M986" s="839" t="s">
        <v>681</v>
      </c>
      <c r="N986" s="1001"/>
      <c r="O986" s="1019"/>
    </row>
    <row r="987" spans="1:15" ht="11.5" customHeight="1">
      <c r="A987" s="1028"/>
      <c r="B987" s="627" t="s">
        <v>2913</v>
      </c>
      <c r="C987" s="627"/>
      <c r="D987" s="627"/>
      <c r="E987" s="627"/>
      <c r="F987" s="628"/>
      <c r="G987" s="62">
        <f>G988+(G996*0.05)</f>
        <v>75.892876997264949</v>
      </c>
      <c r="H987" s="52" t="s">
        <v>840</v>
      </c>
      <c r="I987" s="48">
        <f>G987*0.025</f>
        <v>1.8973219249316238</v>
      </c>
      <c r="J987" s="52" t="s">
        <v>72</v>
      </c>
      <c r="K987" s="64">
        <v>6000</v>
      </c>
      <c r="L987" s="161" t="str">
        <f>$B$103&amp;"/м.куб."</f>
        <v>руб/м.куб.</v>
      </c>
      <c r="M987" s="62">
        <f>K987*I987</f>
        <v>11383.931549589743</v>
      </c>
      <c r="N987" s="294" t="str">
        <f t="shared" ref="N987:N993" si="7">$B$103</f>
        <v>руб</v>
      </c>
      <c r="O987" s="1019"/>
    </row>
    <row r="988" spans="1:15" ht="11.5" customHeight="1">
      <c r="A988" s="1029" t="str">
        <f>HYPERLINK("[Proekt-kalkulyator dlya 3 chastotyi kristallicheskogo kupola.xlsx]G475","КАРКАСЫ")</f>
        <v>КАРКАСЫ</v>
      </c>
      <c r="B988" s="627" t="str">
        <f>C962</f>
        <v>Доска шпунтованная х35мм</v>
      </c>
      <c r="C988" s="627"/>
      <c r="D988" s="627"/>
      <c r="E988" s="627"/>
      <c r="F988" s="628"/>
      <c r="G988" s="446">
        <f>(2.9548*((M10-(((E22+E26+G31)*1.0150636613))/1000)*(M10-(((E22+E26+G31)*1.0150636613))/1000)))</f>
        <v>65.99380608457821</v>
      </c>
      <c r="H988" s="52" t="s">
        <v>840</v>
      </c>
      <c r="I988" s="48">
        <f>G988*0.035</f>
        <v>2.3097832129602374</v>
      </c>
      <c r="J988" s="52" t="s">
        <v>72</v>
      </c>
      <c r="K988" s="64">
        <v>450</v>
      </c>
      <c r="L988" s="161" t="str">
        <f>$B$103&amp;"/м.кв."</f>
        <v>руб/м.кв.</v>
      </c>
      <c r="M988" s="62">
        <f>K988*G988</f>
        <v>29697.212738060196</v>
      </c>
      <c r="N988" s="294" t="str">
        <f t="shared" si="7"/>
        <v>руб</v>
      </c>
      <c r="O988" s="1019"/>
    </row>
    <row r="989" spans="1:15" ht="11.5" customHeight="1">
      <c r="A989" s="1030"/>
      <c r="B989" s="627" t="str">
        <f>C968</f>
        <v xml:space="preserve">Пароизоляционная плёнка </v>
      </c>
      <c r="C989" s="627"/>
      <c r="D989" s="627"/>
      <c r="E989" s="627"/>
      <c r="F989" s="628"/>
      <c r="G989" s="446">
        <f>G988*1.1</f>
        <v>72.593186693036031</v>
      </c>
      <c r="H989" s="52" t="s">
        <v>840</v>
      </c>
      <c r="I989" s="62">
        <f>G989</f>
        <v>72.593186693036031</v>
      </c>
      <c r="J989" s="52" t="s">
        <v>848</v>
      </c>
      <c r="K989" s="64">
        <v>15</v>
      </c>
      <c r="L989" s="161" t="str">
        <f>$B$103&amp;"/м/п."</f>
        <v>руб/м/п.</v>
      </c>
      <c r="M989" s="62">
        <f>K989*I989</f>
        <v>1088.8978003955406</v>
      </c>
      <c r="N989" s="294" t="str">
        <f t="shared" si="7"/>
        <v>руб</v>
      </c>
      <c r="O989" s="1019"/>
    </row>
    <row r="990" spans="1:15" ht="11.5" customHeight="1">
      <c r="A990" s="1027" t="str">
        <f>HYPERLINK("[Proekt-kalkulyator dlya 3 chastotyi kristallicheskogo kupola.xlsx]K505","наполнение")</f>
        <v>наполнение</v>
      </c>
      <c r="B990" s="627" t="str">
        <f>C974</f>
        <v>Ветрозащитная мембрана</v>
      </c>
      <c r="C990" s="627"/>
      <c r="D990" s="627"/>
      <c r="E990" s="627"/>
      <c r="F990" s="628"/>
      <c r="G990" s="62">
        <f>(G988+(((E971+E971+G971)/1000)*G996))*1.1</f>
        <v>170.59398872863468</v>
      </c>
      <c r="H990" s="52" t="s">
        <v>819</v>
      </c>
      <c r="I990" s="62">
        <f>G990</f>
        <v>170.59398872863468</v>
      </c>
      <c r="J990" s="52" t="s">
        <v>848</v>
      </c>
      <c r="K990" s="64">
        <v>15</v>
      </c>
      <c r="L990" s="161" t="str">
        <f>$B$103&amp;"/м/п."</f>
        <v>руб/м/п.</v>
      </c>
      <c r="M990" s="62">
        <f>K990*I990</f>
        <v>2558.9098309295205</v>
      </c>
      <c r="N990" s="294" t="str">
        <f t="shared" si="7"/>
        <v>руб</v>
      </c>
      <c r="O990" s="1019"/>
    </row>
    <row r="991" spans="1:15" ht="11.5" customHeight="1">
      <c r="A991" s="1028"/>
      <c r="B991" s="627" t="s">
        <v>2912</v>
      </c>
      <c r="C991" s="627"/>
      <c r="D991" s="627"/>
      <c r="E991" s="627"/>
      <c r="F991" s="628"/>
      <c r="G991" s="62">
        <f>G988*25</f>
        <v>1649.8451521144552</v>
      </c>
      <c r="H991" s="52" t="s">
        <v>65</v>
      </c>
      <c r="I991" s="48">
        <f>G991*0.00364</f>
        <v>6.0054363536966173</v>
      </c>
      <c r="J991" s="52" t="s">
        <v>67</v>
      </c>
      <c r="K991" s="64">
        <v>150</v>
      </c>
      <c r="L991" s="161" t="str">
        <f>$B$103&amp;"/кг."</f>
        <v>руб/кг.</v>
      </c>
      <c r="M991" s="62">
        <f>K991*I991</f>
        <v>900.81545305449265</v>
      </c>
      <c r="N991" s="294" t="str">
        <f t="shared" si="7"/>
        <v>руб</v>
      </c>
      <c r="O991" s="1019"/>
    </row>
    <row r="992" spans="1:15" ht="11.5" customHeight="1">
      <c r="A992" s="1029" t="str">
        <f>HYPERLINK("[Proekt-kalkulyator dlya 3 chastotyi kristallicheskogo kupola.xlsx]K745","ОБОЛОЧКА")</f>
        <v>ОБОЛОЧКА</v>
      </c>
      <c r="B992" s="627" t="s">
        <v>2914</v>
      </c>
      <c r="C992" s="627"/>
      <c r="D992" s="627"/>
      <c r="E992" s="627"/>
      <c r="F992" s="628"/>
      <c r="G992" s="62">
        <f>(G996*2)/0.2</f>
        <v>1979.8141825373461</v>
      </c>
      <c r="H992" s="52" t="s">
        <v>840</v>
      </c>
      <c r="I992" s="48">
        <f>G992*0.00364</f>
        <v>7.2065236244359401</v>
      </c>
      <c r="J992" s="52" t="s">
        <v>67</v>
      </c>
      <c r="K992" s="64">
        <v>150</v>
      </c>
      <c r="L992" s="161" t="str">
        <f>$B$103&amp;"/кг"</f>
        <v>руб/кг</v>
      </c>
      <c r="M992" s="62">
        <f>I992*K992</f>
        <v>1080.978543665391</v>
      </c>
      <c r="N992" s="294" t="str">
        <f t="shared" si="7"/>
        <v>руб</v>
      </c>
      <c r="O992" s="1019"/>
    </row>
    <row r="993" spans="1:15" ht="11.5" customHeight="1">
      <c r="A993" s="1030"/>
      <c r="B993" s="827" t="str">
        <f>C970</f>
        <v>Контррейка 25х50мм</v>
      </c>
      <c r="C993" s="827"/>
      <c r="D993" s="827"/>
      <c r="E993" s="827"/>
      <c r="F993" s="828"/>
      <c r="G993" s="62">
        <f>G996</f>
        <v>197.98141825373463</v>
      </c>
      <c r="H993" s="52" t="s">
        <v>848</v>
      </c>
      <c r="I993" s="48">
        <f>$G$996*0.025*($G$971/1000)</f>
        <v>0.24747677281716829</v>
      </c>
      <c r="J993" s="52" t="s">
        <v>72</v>
      </c>
      <c r="K993" s="64">
        <v>8000</v>
      </c>
      <c r="L993" s="161" t="str">
        <f>$B$103&amp;"/за м.куб."</f>
        <v>руб/за м.куб.</v>
      </c>
      <c r="M993" s="62">
        <f>K993*I993</f>
        <v>1979.8141825373464</v>
      </c>
      <c r="N993" s="294" t="str">
        <f t="shared" si="7"/>
        <v>руб</v>
      </c>
      <c r="O993" s="1019"/>
    </row>
    <row r="994" spans="1:15" ht="11.5" customHeight="1">
      <c r="A994" s="1031" t="str">
        <f>HYPERLINK("[Proekt-kalkulyator dlya 3 chastotyi kristallicheskogo kupola.xlsx]J942","ФуНДАМЕНТ")</f>
        <v>ФуНДАМЕНТ</v>
      </c>
      <c r="B994" s="627" t="str">
        <f>C976</f>
        <v>Утеплитель (вермикулит )175мм</v>
      </c>
      <c r="C994" s="627"/>
      <c r="D994" s="627"/>
      <c r="E994" s="627"/>
      <c r="F994" s="628"/>
      <c r="G994" s="62">
        <f>G988-(G996*(G971/1000))</f>
        <v>56.094735171891479</v>
      </c>
      <c r="H994" s="52" t="s">
        <v>840</v>
      </c>
      <c r="I994" s="62">
        <f>((E971-25)/1000)*G994</f>
        <v>9.8165786550810079</v>
      </c>
      <c r="J994" s="52" t="s">
        <v>72</v>
      </c>
      <c r="K994" s="128">
        <v>4000</v>
      </c>
      <c r="L994" s="161" t="str">
        <f>$B$103&amp;"/за м.куб."</f>
        <v>руб/за м.куб.</v>
      </c>
      <c r="M994" s="50">
        <f>I994*K994</f>
        <v>39266.314620324032</v>
      </c>
      <c r="N994" s="294" t="str">
        <f>$B$103</f>
        <v>руб</v>
      </c>
      <c r="O994" s="1019"/>
    </row>
    <row r="995" spans="1:15" ht="11.5" customHeight="1">
      <c r="A995" s="1032"/>
      <c r="B995" s="627" t="s">
        <v>2915</v>
      </c>
      <c r="C995" s="627"/>
      <c r="D995" s="627"/>
      <c r="E995" s="627"/>
      <c r="F995" s="628"/>
      <c r="G995" s="62">
        <f>10*G988</f>
        <v>659.93806084578205</v>
      </c>
      <c r="H995" s="127" t="s">
        <v>65</v>
      </c>
      <c r="I995" s="160">
        <f>G995*0.0095</f>
        <v>6.2694115780349291</v>
      </c>
      <c r="J995" s="52" t="s">
        <v>91</v>
      </c>
      <c r="K995" s="130">
        <v>150</v>
      </c>
      <c r="L995" s="161" t="str">
        <f>$B$103&amp;"/за кг."</f>
        <v>руб/за кг.</v>
      </c>
      <c r="M995" s="131">
        <f>K995*I995</f>
        <v>940.41173670523938</v>
      </c>
      <c r="N995" s="294" t="str">
        <f>$B$103</f>
        <v>руб</v>
      </c>
      <c r="O995" s="1019"/>
    </row>
    <row r="996" spans="1:15" ht="11.5" customHeight="1">
      <c r="A996" s="1029" t="str">
        <f>HYPERLINK("[Proekt-kalkulyator dlya 3 chastotyi kristallicheskogo kupola.xlsx]K1114","перекрытие в.")</f>
        <v>перекрытие в.</v>
      </c>
      <c r="B996" s="627" t="str">
        <f>"Доска "&amp;E971&amp;" х "&amp;G971&amp;" мм"</f>
        <v>Доска 200 х 50 мм</v>
      </c>
      <c r="C996" s="627"/>
      <c r="D996" s="627"/>
      <c r="E996" s="627"/>
      <c r="F996" s="628"/>
      <c r="G996" s="49">
        <f>3*G988</f>
        <v>197.98141825373463</v>
      </c>
      <c r="H996" s="52" t="s">
        <v>848</v>
      </c>
      <c r="I996" s="48">
        <f>G996*($E$971/1000)*($G$971/1000)</f>
        <v>1.9798141825373463</v>
      </c>
      <c r="J996" s="434" t="s">
        <v>72</v>
      </c>
      <c r="K996" s="129">
        <v>8000</v>
      </c>
      <c r="L996" s="161" t="str">
        <f>$B$103&amp;"/за м.куб."</f>
        <v>руб/за м.куб.</v>
      </c>
      <c r="M996" s="131">
        <f>K996*I996</f>
        <v>15838.513460298771</v>
      </c>
      <c r="N996" s="294" t="str">
        <f>$B$103</f>
        <v>руб</v>
      </c>
      <c r="O996" s="1019"/>
    </row>
    <row r="997" spans="1:15" ht="11.5" customHeight="1">
      <c r="A997" s="994"/>
      <c r="B997" s="1013"/>
      <c r="O997" s="1019"/>
    </row>
    <row r="998" spans="1:15" ht="11.5" customHeight="1">
      <c r="A998" s="995" t="str">
        <f>HYPERLINK("[Proekt-kalkulyator dlya 3 chastotyi kristallicheskogo kupola.xlsx]$I$10","В начало")</f>
        <v>В начало</v>
      </c>
      <c r="B998" s="1124" t="s">
        <v>835</v>
      </c>
      <c r="C998" s="832"/>
      <c r="D998" s="832"/>
      <c r="E998" s="832"/>
      <c r="F998" s="832"/>
      <c r="G998" s="50"/>
      <c r="H998" s="104"/>
      <c r="I998" s="50"/>
      <c r="J998" s="104"/>
      <c r="K998" s="5"/>
      <c r="L998" s="5"/>
      <c r="M998" s="293">
        <f>SUM(M987:M996)</f>
        <v>104735.79991556027</v>
      </c>
      <c r="N998" s="294" t="str">
        <f>$B$103</f>
        <v>руб</v>
      </c>
      <c r="O998" s="1019"/>
    </row>
    <row r="999" spans="1:15" ht="11.5" customHeight="1" thickBot="1">
      <c r="A999" s="995"/>
      <c r="B999" s="1117"/>
      <c r="C999" s="996"/>
      <c r="D999" s="996"/>
      <c r="E999" s="1"/>
      <c r="F999" s="1120"/>
      <c r="G999" s="1120"/>
      <c r="H999" s="1120"/>
      <c r="I999" s="1120"/>
      <c r="J999" s="1121"/>
      <c r="K999" s="1120"/>
      <c r="L999" s="1122"/>
      <c r="M999" s="1122"/>
      <c r="N999" s="1123"/>
      <c r="O999" s="1019"/>
    </row>
    <row r="1000" spans="1:15" ht="11.5" customHeight="1" thickTop="1">
      <c r="A1000" s="1036"/>
      <c r="B1000" s="1109" t="s">
        <v>2916</v>
      </c>
      <c r="C1000" s="1110"/>
      <c r="D1000" s="1110"/>
      <c r="E1000" s="1110"/>
      <c r="F1000" s="1110"/>
      <c r="G1000" s="1110"/>
      <c r="H1000" s="1110"/>
      <c r="I1000" s="1110"/>
      <c r="J1000" s="1110"/>
      <c r="K1000" s="1110"/>
      <c r="L1000" s="1110"/>
      <c r="M1000" s="1110"/>
      <c r="N1000" s="1111"/>
      <c r="O1000" s="1019"/>
    </row>
    <row r="1001" spans="1:15" ht="11.5" customHeight="1">
      <c r="A1001" s="1036"/>
      <c r="B1001" s="1112"/>
      <c r="C1001" s="1108"/>
      <c r="D1001" s="1108"/>
      <c r="E1001" s="1108"/>
      <c r="F1001" s="1108"/>
      <c r="G1001" s="1108"/>
      <c r="H1001" s="1108"/>
      <c r="I1001" s="1108"/>
      <c r="J1001" s="1108"/>
      <c r="K1001" s="1108"/>
      <c r="L1001" s="1108"/>
      <c r="M1001" s="1108"/>
      <c r="N1001" s="1113"/>
      <c r="O1001" s="1019"/>
    </row>
    <row r="1002" spans="1:15" ht="11.5" customHeight="1">
      <c r="A1002" s="1036"/>
      <c r="B1002" s="1117"/>
      <c r="C1002" s="996"/>
      <c r="D1002" s="996"/>
      <c r="E1002" s="1120"/>
      <c r="F1002" s="1120"/>
      <c r="G1002" s="1120"/>
      <c r="H1002" s="1120"/>
      <c r="I1002" s="1120"/>
      <c r="J1002" s="1120"/>
      <c r="K1002" s="1120"/>
      <c r="L1002" s="996"/>
      <c r="M1002" s="996"/>
      <c r="N1002" s="1036"/>
      <c r="O1002" s="1019"/>
    </row>
    <row r="1003" spans="1:15" ht="11.5" customHeight="1">
      <c r="A1003" s="1036"/>
      <c r="B1003" s="153"/>
      <c r="C1003" s="153"/>
      <c r="D1003" s="153"/>
      <c r="E1003" s="153"/>
      <c r="K1003" s="153"/>
      <c r="L1003" s="153"/>
      <c r="M1003" s="153"/>
      <c r="N1003" s="153"/>
      <c r="O1003" s="1019"/>
    </row>
    <row r="1004" spans="1:15" ht="11.5" customHeight="1">
      <c r="A1004" s="1036"/>
      <c r="B1004" s="153"/>
      <c r="C1004" s="153"/>
      <c r="D1004" s="153"/>
      <c r="E1004" s="153"/>
      <c r="K1004" s="153"/>
      <c r="L1004" s="153"/>
      <c r="M1004" s="153"/>
      <c r="N1004" s="153"/>
      <c r="O1004" s="1019"/>
    </row>
    <row r="1005" spans="1:15" ht="11.5" customHeight="1">
      <c r="A1005" s="1036"/>
      <c r="B1005" s="153"/>
      <c r="C1005" s="153"/>
      <c r="D1005" s="153"/>
      <c r="E1005" s="153"/>
      <c r="F1005" s="153"/>
      <c r="G1005" s="153"/>
      <c r="H1005" s="153"/>
      <c r="I1005" s="153"/>
      <c r="J1005" s="153"/>
      <c r="K1005" s="153"/>
      <c r="L1005" s="153"/>
      <c r="M1005" s="153"/>
      <c r="N1005" s="153"/>
      <c r="O1005" s="1019"/>
    </row>
    <row r="1006" spans="1:15" ht="11.5" customHeight="1">
      <c r="A1006" s="1036"/>
      <c r="B1006" s="153"/>
      <c r="C1006" s="153"/>
      <c r="D1006" s="153"/>
      <c r="E1006" s="153"/>
      <c r="F1006" s="153"/>
      <c r="G1006" s="153"/>
      <c r="H1006" s="153"/>
      <c r="I1006" s="153"/>
      <c r="J1006" s="153"/>
      <c r="K1006" s="153"/>
      <c r="L1006" s="153"/>
      <c r="M1006" s="153"/>
      <c r="N1006" s="153"/>
      <c r="O1006" s="1019"/>
    </row>
    <row r="1007" spans="1:15" ht="11.5" customHeight="1">
      <c r="A1007" s="1036"/>
      <c r="B1007" s="153"/>
      <c r="C1007" s="153"/>
      <c r="D1007" s="153"/>
      <c r="E1007" s="153"/>
      <c r="F1007" s="153"/>
      <c r="G1007" s="153"/>
      <c r="H1007" s="153"/>
      <c r="I1007" s="153"/>
      <c r="J1007" s="153"/>
      <c r="K1007" s="153"/>
      <c r="L1007" s="153"/>
      <c r="M1007" s="153"/>
      <c r="N1007" s="153"/>
      <c r="O1007" s="1019"/>
    </row>
    <row r="1008" spans="1:15" ht="11.5" customHeight="1">
      <c r="A1008" s="1036"/>
      <c r="B1008" s="153"/>
      <c r="C1008" s="153"/>
      <c r="D1008" s="153"/>
      <c r="E1008" s="153"/>
      <c r="F1008" s="153"/>
      <c r="G1008" s="153"/>
      <c r="H1008" s="153"/>
      <c r="I1008" s="153"/>
      <c r="J1008" s="153"/>
      <c r="K1008" s="153"/>
      <c r="L1008" s="153"/>
      <c r="M1008" s="153"/>
      <c r="N1008" s="153"/>
      <c r="O1008" s="1019"/>
    </row>
    <row r="1009" spans="1:15" ht="11.5" customHeight="1">
      <c r="A1009" s="1036"/>
      <c r="B1009" s="153"/>
      <c r="C1009" s="153"/>
      <c r="D1009" s="153"/>
      <c r="E1009" s="153"/>
      <c r="F1009" s="153"/>
      <c r="G1009" s="153"/>
      <c r="H1009" s="153"/>
      <c r="I1009" s="153"/>
      <c r="J1009" s="153"/>
      <c r="K1009" s="153"/>
      <c r="L1009" s="153"/>
      <c r="M1009" s="153"/>
      <c r="N1009" s="153"/>
      <c r="O1009" s="1019"/>
    </row>
    <row r="1010" spans="1:15" ht="11.5" customHeight="1">
      <c r="A1010" s="1036"/>
      <c r="B1010" s="153"/>
      <c r="C1010" s="153"/>
      <c r="D1010" s="153"/>
      <c r="E1010" s="153"/>
      <c r="F1010" s="153"/>
      <c r="G1010" s="153"/>
      <c r="H1010" s="153"/>
      <c r="I1010" s="153"/>
      <c r="J1010" s="153"/>
      <c r="K1010" s="153"/>
      <c r="L1010" s="153"/>
      <c r="M1010" s="153"/>
      <c r="N1010" s="153"/>
      <c r="O1010" s="1019"/>
    </row>
    <row r="1011" spans="1:15" ht="20">
      <c r="A1011" s="1036"/>
      <c r="B1011" s="153"/>
      <c r="C1011" s="153"/>
      <c r="D1011" s="153"/>
      <c r="E1011" s="153"/>
      <c r="F1011" s="153"/>
      <c r="G1011" s="153"/>
      <c r="H1011" s="153"/>
      <c r="I1011" s="153"/>
      <c r="J1011" s="153"/>
      <c r="K1011" s="153"/>
      <c r="L1011" s="153"/>
      <c r="M1011" s="153"/>
      <c r="N1011" s="153"/>
      <c r="O1011" s="1019"/>
    </row>
    <row r="1012" spans="1:15" ht="20">
      <c r="A1012" s="1036"/>
      <c r="B1012" s="153"/>
      <c r="C1012" s="153"/>
      <c r="D1012" s="153"/>
      <c r="E1012" s="153"/>
      <c r="F1012" s="153"/>
      <c r="G1012" s="153"/>
      <c r="H1012" s="153"/>
      <c r="I1012" s="153"/>
      <c r="J1012" s="153"/>
      <c r="K1012" s="153"/>
      <c r="L1012" s="153"/>
      <c r="M1012" s="153"/>
      <c r="N1012" s="153"/>
      <c r="O1012" s="1019"/>
    </row>
    <row r="1013" spans="1:15" ht="20">
      <c r="A1013" s="1036"/>
      <c r="B1013" s="153"/>
      <c r="C1013" s="153"/>
      <c r="D1013" s="153"/>
      <c r="E1013" s="153"/>
      <c r="F1013" s="153"/>
      <c r="G1013" s="153"/>
      <c r="H1013" s="153"/>
      <c r="I1013" s="153"/>
      <c r="J1013" s="153"/>
      <c r="K1013" s="153"/>
      <c r="L1013" s="153"/>
      <c r="M1013" s="153"/>
      <c r="N1013" s="153"/>
      <c r="O1013" s="1019"/>
    </row>
    <row r="1014" spans="1:15" ht="20">
      <c r="A1014" s="1036"/>
      <c r="B1014" s="153"/>
      <c r="C1014" s="153"/>
      <c r="D1014" s="153"/>
      <c r="E1014" s="153"/>
      <c r="F1014" s="153"/>
      <c r="G1014" s="153"/>
      <c r="H1014" s="153"/>
      <c r="I1014" s="153"/>
      <c r="J1014" s="153"/>
      <c r="K1014" s="153"/>
      <c r="L1014" s="153"/>
      <c r="M1014" s="153"/>
      <c r="N1014" s="153"/>
      <c r="O1014" s="1019"/>
    </row>
    <row r="1015" spans="1:15" ht="20">
      <c r="A1015" s="1036"/>
      <c r="B1015" s="153"/>
      <c r="C1015" s="153"/>
      <c r="D1015" s="153"/>
      <c r="E1015" s="153"/>
      <c r="F1015" s="153"/>
      <c r="G1015" s="153"/>
      <c r="H1015" s="153"/>
      <c r="I1015" s="153"/>
      <c r="J1015" s="153"/>
      <c r="K1015" s="153"/>
      <c r="L1015" s="153"/>
      <c r="M1015" s="153"/>
      <c r="N1015" s="153"/>
      <c r="O1015" s="1019"/>
    </row>
    <row r="1016" spans="1:15" ht="20">
      <c r="A1016" s="1036"/>
      <c r="B1016" s="153"/>
      <c r="C1016" s="153"/>
      <c r="D1016" s="153"/>
      <c r="E1016" s="153"/>
      <c r="F1016" s="153"/>
      <c r="G1016" s="153"/>
      <c r="H1016" s="153"/>
      <c r="I1016" s="153"/>
      <c r="J1016" s="153"/>
      <c r="K1016" s="153"/>
      <c r="L1016" s="153"/>
      <c r="M1016" s="153"/>
      <c r="N1016" s="153"/>
      <c r="O1016" s="1019"/>
    </row>
    <row r="1017" spans="1:15" ht="20">
      <c r="A1017" s="1036"/>
      <c r="B1017" s="153"/>
      <c r="C1017" s="153"/>
      <c r="D1017" s="153"/>
      <c r="E1017" s="153"/>
      <c r="K1017" s="153"/>
      <c r="L1017" s="153"/>
      <c r="M1017" s="153"/>
      <c r="N1017" s="153"/>
      <c r="O1017" s="1017"/>
    </row>
    <row r="1018" spans="1:15" ht="20">
      <c r="A1018" s="1036"/>
      <c r="B1018" s="153"/>
      <c r="C1018" s="153"/>
      <c r="D1018" s="153"/>
      <c r="E1018" s="153"/>
      <c r="K1018" s="153"/>
      <c r="L1018" s="153"/>
      <c r="M1018" s="153"/>
      <c r="N1018" s="153"/>
      <c r="O1018" s="1019"/>
    </row>
    <row r="1019" spans="1:15" ht="20">
      <c r="A1019" s="1036"/>
      <c r="B1019" s="153"/>
      <c r="C1019" s="153"/>
      <c r="D1019" s="153"/>
      <c r="E1019" s="153"/>
      <c r="F1019" s="153"/>
      <c r="G1019" s="153"/>
      <c r="H1019" s="153"/>
      <c r="I1019" s="153"/>
      <c r="J1019" s="153"/>
      <c r="K1019" s="153"/>
      <c r="L1019" s="153"/>
      <c r="M1019" s="153"/>
      <c r="N1019" s="153"/>
      <c r="O1019" s="1019"/>
    </row>
    <row r="1020" spans="1:15" ht="20">
      <c r="A1020" s="1036"/>
      <c r="B1020" s="153"/>
      <c r="C1020" s="153"/>
      <c r="D1020" s="153"/>
      <c r="E1020" s="153"/>
      <c r="F1020" s="675" t="s">
        <v>2917</v>
      </c>
      <c r="G1020" s="675"/>
      <c r="H1020" s="675"/>
      <c r="I1020" s="675"/>
      <c r="J1020" s="675"/>
      <c r="K1020" s="153"/>
      <c r="L1020" s="153"/>
      <c r="M1020" s="153"/>
      <c r="N1020" s="153"/>
      <c r="O1020" s="1019"/>
    </row>
    <row r="1021" spans="1:15" ht="20">
      <c r="A1021" s="1036"/>
      <c r="B1021" s="153"/>
      <c r="C1021" s="153"/>
      <c r="D1021" s="153"/>
      <c r="E1021" s="153"/>
      <c r="F1021" s="675"/>
      <c r="G1021" s="675"/>
      <c r="H1021" s="675"/>
      <c r="I1021" s="675"/>
      <c r="J1021" s="675"/>
      <c r="K1021" s="153"/>
      <c r="L1021" s="153"/>
      <c r="M1021" s="153"/>
      <c r="N1021" s="153"/>
      <c r="O1021" s="1019"/>
    </row>
    <row r="1022" spans="1:15" ht="20">
      <c r="A1022" s="1036"/>
      <c r="B1022" s="153"/>
      <c r="C1022" s="153"/>
      <c r="D1022" s="153"/>
      <c r="E1022" s="153"/>
      <c r="K1022" s="153"/>
      <c r="L1022" s="153"/>
      <c r="M1022" s="153"/>
      <c r="N1022" s="153"/>
      <c r="O1022" s="1019"/>
    </row>
    <row r="1023" spans="1:15" ht="20">
      <c r="A1023" s="1036"/>
      <c r="B1023" s="153"/>
      <c r="C1023" s="153"/>
      <c r="D1023" s="153"/>
      <c r="E1023" s="153"/>
      <c r="K1023" s="153"/>
      <c r="L1023" s="153"/>
      <c r="M1023" s="153"/>
      <c r="N1023" s="153"/>
      <c r="O1023" s="1019"/>
    </row>
    <row r="1024" spans="1:15" ht="20">
      <c r="A1024" s="1036"/>
      <c r="B1024" s="153"/>
      <c r="C1024" s="153"/>
      <c r="D1024" s="153"/>
      <c r="E1024" s="153"/>
      <c r="K1024" s="153"/>
      <c r="L1024" s="153"/>
      <c r="M1024" s="153"/>
      <c r="N1024" s="153"/>
      <c r="O1024" s="1019"/>
    </row>
    <row r="1025" spans="1:15" ht="20">
      <c r="A1025" s="1036"/>
      <c r="B1025" s="153"/>
      <c r="C1025" s="153"/>
      <c r="D1025" s="153"/>
      <c r="E1025" s="153"/>
      <c r="K1025" s="153"/>
      <c r="L1025" s="153"/>
      <c r="M1025" s="153"/>
      <c r="N1025" s="153"/>
      <c r="O1025" s="1019"/>
    </row>
    <row r="1026" spans="1:15" ht="20">
      <c r="A1026" s="1036"/>
      <c r="B1026" s="153"/>
      <c r="C1026" s="153"/>
      <c r="D1026" s="153"/>
      <c r="E1026" s="153"/>
      <c r="F1026" s="153"/>
      <c r="G1026" s="153"/>
      <c r="H1026" s="153"/>
      <c r="I1026" s="153"/>
      <c r="J1026" s="153"/>
      <c r="K1026" s="153"/>
      <c r="L1026" s="153"/>
      <c r="M1026" s="153"/>
      <c r="N1026" s="153"/>
      <c r="O1026" s="1019"/>
    </row>
    <row r="1027" spans="1:15" ht="20">
      <c r="A1027" s="1036"/>
      <c r="B1027" s="153"/>
      <c r="C1027" s="153"/>
      <c r="D1027" s="153"/>
      <c r="E1027" s="153"/>
      <c r="F1027" s="153"/>
      <c r="G1027" s="153"/>
      <c r="H1027" s="153"/>
      <c r="I1027" s="153"/>
      <c r="J1027" s="153"/>
      <c r="K1027" s="153"/>
      <c r="L1027" s="153"/>
      <c r="M1027" s="153"/>
      <c r="N1027" s="153"/>
      <c r="O1027" s="1019"/>
    </row>
    <row r="1028" spans="1:15" ht="20">
      <c r="A1028" s="1036"/>
      <c r="B1028" s="153"/>
      <c r="C1028" s="153"/>
      <c r="D1028" s="153"/>
      <c r="E1028" s="153"/>
      <c r="F1028" s="153"/>
      <c r="G1028" s="153"/>
      <c r="H1028" s="153"/>
      <c r="I1028" s="153"/>
      <c r="J1028" s="153"/>
      <c r="K1028" s="153"/>
      <c r="L1028" s="153"/>
      <c r="M1028" s="153"/>
      <c r="N1028" s="153"/>
      <c r="O1028" s="1019"/>
    </row>
    <row r="1029" spans="1:15" ht="20">
      <c r="A1029" s="1036"/>
      <c r="B1029" s="153"/>
      <c r="C1029" s="153"/>
      <c r="D1029" s="153"/>
      <c r="E1029" s="153"/>
      <c r="F1029" s="153"/>
      <c r="G1029" s="153"/>
      <c r="H1029" s="153"/>
      <c r="I1029" s="153"/>
      <c r="J1029" s="153"/>
      <c r="K1029" s="153"/>
      <c r="L1029" s="153"/>
      <c r="M1029" s="153"/>
      <c r="N1029" s="153"/>
      <c r="O1029" s="1019"/>
    </row>
    <row r="1030" spans="1:15" ht="20">
      <c r="A1030" s="1036"/>
      <c r="B1030" s="153"/>
      <c r="C1030" s="153"/>
      <c r="D1030" s="153"/>
      <c r="E1030" s="153"/>
      <c r="F1030" s="153"/>
      <c r="G1030" s="153"/>
      <c r="H1030" s="153"/>
      <c r="I1030" s="153"/>
      <c r="J1030" s="153"/>
      <c r="K1030" s="153"/>
      <c r="L1030" s="153"/>
      <c r="M1030" s="153"/>
      <c r="N1030" s="153"/>
      <c r="O1030" s="1019"/>
    </row>
    <row r="1031" spans="1:15" ht="20">
      <c r="A1031" s="1036"/>
      <c r="B1031" s="153"/>
      <c r="C1031" s="153"/>
      <c r="D1031" s="153"/>
      <c r="E1031" s="153"/>
      <c r="F1031" s="153"/>
      <c r="G1031" s="153"/>
      <c r="H1031" s="153"/>
      <c r="I1031" s="153"/>
      <c r="J1031" s="153"/>
      <c r="K1031" s="153"/>
      <c r="L1031" s="153"/>
      <c r="M1031" s="153"/>
      <c r="N1031" s="153"/>
      <c r="O1031" s="1019"/>
    </row>
    <row r="1032" spans="1:15" ht="20">
      <c r="A1032" s="1036"/>
      <c r="B1032" s="153"/>
      <c r="C1032" s="153"/>
      <c r="D1032" s="153"/>
      <c r="E1032" s="153"/>
      <c r="F1032" s="153"/>
      <c r="G1032" s="153"/>
      <c r="H1032" s="153"/>
      <c r="I1032" s="153"/>
      <c r="J1032" s="153"/>
      <c r="K1032" s="153"/>
      <c r="L1032" s="153"/>
      <c r="M1032" s="153"/>
      <c r="N1032" s="153"/>
      <c r="O1032" s="1019"/>
    </row>
    <row r="1033" spans="1:15" ht="20">
      <c r="A1033" s="1036"/>
      <c r="B1033" s="153"/>
      <c r="C1033" s="153"/>
      <c r="D1033" s="153"/>
      <c r="E1033" s="153"/>
      <c r="F1033" s="153"/>
      <c r="G1033" s="153"/>
      <c r="H1033" s="153"/>
      <c r="I1033" s="153"/>
      <c r="J1033" s="153"/>
      <c r="K1033" s="153"/>
      <c r="L1033" s="153"/>
      <c r="M1033" s="153"/>
      <c r="N1033" s="153"/>
      <c r="O1033" s="1019"/>
    </row>
    <row r="1034" spans="1:15" ht="20">
      <c r="A1034" s="1036"/>
      <c r="B1034" s="153"/>
      <c r="C1034" s="153"/>
      <c r="D1034" s="153"/>
      <c r="E1034" s="153"/>
      <c r="F1034" s="153"/>
      <c r="G1034" s="153"/>
      <c r="H1034" s="153"/>
      <c r="I1034" s="153"/>
      <c r="J1034" s="153"/>
      <c r="K1034" s="153"/>
      <c r="L1034" s="153"/>
      <c r="M1034" s="153"/>
      <c r="N1034" s="153"/>
      <c r="O1034" s="1019"/>
    </row>
    <row r="1035" spans="1:15" ht="20">
      <c r="A1035" s="1036"/>
      <c r="B1035" s="153"/>
      <c r="C1035" s="153"/>
      <c r="D1035" s="153"/>
      <c r="E1035" s="153"/>
      <c r="F1035" s="153"/>
      <c r="G1035" s="153"/>
      <c r="H1035" s="153"/>
      <c r="I1035" s="153"/>
      <c r="J1035" s="153"/>
      <c r="K1035" s="153"/>
      <c r="L1035" s="153"/>
      <c r="M1035" s="153"/>
      <c r="N1035" s="153"/>
      <c r="O1035" s="1019"/>
    </row>
    <row r="1036" spans="1:15" ht="20">
      <c r="A1036" s="1036"/>
      <c r="B1036" s="153"/>
      <c r="C1036" s="153"/>
      <c r="D1036" s="153"/>
      <c r="E1036" s="153"/>
      <c r="F1036" s="153"/>
      <c r="G1036" s="153"/>
      <c r="H1036" s="153"/>
      <c r="I1036" s="153"/>
      <c r="J1036" s="153"/>
      <c r="K1036" s="153"/>
      <c r="L1036" s="153"/>
      <c r="M1036" s="153"/>
      <c r="N1036" s="153"/>
      <c r="O1036" s="1019"/>
    </row>
    <row r="1037" spans="1:15" ht="20">
      <c r="A1037" s="1036"/>
      <c r="B1037" s="153"/>
      <c r="C1037" s="153"/>
      <c r="D1037" s="153"/>
      <c r="E1037" s="153"/>
      <c r="F1037" s="153"/>
      <c r="G1037" s="153"/>
      <c r="H1037" s="153"/>
      <c r="I1037" s="153"/>
      <c r="J1037" s="153"/>
      <c r="K1037" s="153"/>
      <c r="L1037" s="153"/>
      <c r="M1037" s="153"/>
      <c r="N1037" s="153"/>
      <c r="O1037" s="1019"/>
    </row>
    <row r="1038" spans="1:15" ht="20">
      <c r="A1038" s="1036"/>
      <c r="B1038" s="153"/>
      <c r="C1038" s="153"/>
      <c r="D1038" s="153"/>
      <c r="E1038" s="153"/>
      <c r="F1038" s="153"/>
      <c r="G1038" s="153"/>
      <c r="H1038" s="153"/>
      <c r="I1038" s="153"/>
      <c r="J1038" s="153"/>
      <c r="K1038" s="153"/>
      <c r="L1038" s="153"/>
      <c r="M1038" s="153"/>
      <c r="N1038" s="153"/>
      <c r="O1038" s="1019"/>
    </row>
    <row r="1039" spans="1:15" ht="20">
      <c r="A1039" s="1036"/>
      <c r="B1039" s="153"/>
      <c r="C1039" s="153"/>
      <c r="D1039" s="153"/>
      <c r="E1039" s="153"/>
      <c r="F1039" s="153"/>
      <c r="G1039" s="153"/>
      <c r="H1039" s="153"/>
      <c r="I1039" s="153"/>
      <c r="J1039" s="153"/>
      <c r="K1039" s="153"/>
      <c r="L1039" s="153"/>
      <c r="M1039" s="153"/>
      <c r="N1039" s="153"/>
      <c r="O1039" s="1019"/>
    </row>
    <row r="1040" spans="1:15" ht="20">
      <c r="A1040" s="1036"/>
      <c r="B1040" s="153"/>
      <c r="C1040" s="153"/>
      <c r="D1040" s="153"/>
      <c r="E1040" s="153"/>
      <c r="F1040" s="153"/>
      <c r="G1040" s="153"/>
      <c r="H1040" s="153"/>
      <c r="I1040" s="153"/>
      <c r="J1040" s="153"/>
      <c r="K1040" s="153"/>
      <c r="L1040" s="153"/>
      <c r="M1040" s="153"/>
      <c r="N1040" s="153"/>
      <c r="O1040" s="1019"/>
    </row>
    <row r="1041" spans="1:15" ht="20">
      <c r="A1041" s="1036"/>
      <c r="B1041" s="153"/>
      <c r="C1041" s="153"/>
      <c r="D1041" s="153"/>
      <c r="E1041" s="153"/>
      <c r="F1041" s="153"/>
      <c r="G1041" s="153"/>
      <c r="H1041" s="153"/>
      <c r="I1041" s="153"/>
      <c r="J1041" s="153"/>
      <c r="K1041" s="153"/>
      <c r="L1041" s="153"/>
      <c r="M1041" s="153"/>
      <c r="N1041" s="153"/>
      <c r="O1041" s="1019"/>
    </row>
    <row r="1042" spans="1:15" ht="20">
      <c r="A1042" s="1036"/>
      <c r="B1042" s="153"/>
      <c r="C1042" s="153"/>
      <c r="D1042" s="153"/>
      <c r="E1042" s="153"/>
      <c r="F1042" s="153"/>
      <c r="G1042" s="153"/>
      <c r="H1042" s="153"/>
      <c r="I1042" s="153"/>
      <c r="J1042" s="153"/>
      <c r="K1042" s="153"/>
      <c r="L1042" s="153"/>
      <c r="M1042" s="153"/>
      <c r="N1042" s="153"/>
      <c r="O1042" s="1019"/>
    </row>
    <row r="1043" spans="1:15" ht="20">
      <c r="A1043" s="1036"/>
      <c r="B1043" s="153"/>
      <c r="C1043" s="153"/>
      <c r="D1043" s="153"/>
      <c r="E1043" s="153"/>
      <c r="F1043" s="153"/>
      <c r="G1043" s="153"/>
      <c r="H1043" s="153"/>
      <c r="I1043" s="153"/>
      <c r="J1043" s="153"/>
      <c r="K1043" s="153"/>
      <c r="L1043" s="153"/>
      <c r="M1043" s="153"/>
      <c r="N1043" s="153"/>
      <c r="O1043" s="1019"/>
    </row>
    <row r="1044" spans="1:15" ht="20">
      <c r="A1044" s="1036"/>
      <c r="B1044" s="153"/>
      <c r="C1044" s="153"/>
      <c r="D1044" s="153"/>
      <c r="E1044" s="153"/>
      <c r="F1044" s="153"/>
      <c r="G1044" s="153"/>
      <c r="H1044" s="153"/>
      <c r="I1044" s="153"/>
      <c r="J1044" s="153"/>
      <c r="K1044" s="153"/>
      <c r="L1044" s="153"/>
      <c r="M1044" s="153"/>
      <c r="N1044" s="153"/>
      <c r="O1044" s="1019"/>
    </row>
    <row r="1045" spans="1:15" ht="20">
      <c r="A1045" s="1036"/>
      <c r="B1045" s="153"/>
      <c r="C1045" s="153"/>
      <c r="D1045" s="153"/>
      <c r="E1045" s="153"/>
      <c r="F1045" s="153"/>
      <c r="G1045" s="153"/>
      <c r="H1045" s="153"/>
      <c r="I1045" s="153"/>
      <c r="J1045" s="153"/>
      <c r="K1045" s="153"/>
      <c r="L1045" s="153"/>
      <c r="M1045" s="153"/>
      <c r="N1045" s="153"/>
      <c r="O1045" s="1019"/>
    </row>
    <row r="1046" spans="1:15" ht="20">
      <c r="A1046" s="1036"/>
      <c r="B1046" s="153"/>
      <c r="C1046" s="153"/>
      <c r="D1046" s="153"/>
      <c r="E1046" s="153"/>
      <c r="F1046" s="153"/>
      <c r="G1046" s="153"/>
      <c r="H1046" s="153"/>
      <c r="I1046" s="153"/>
      <c r="J1046" s="153"/>
      <c r="K1046" s="153"/>
      <c r="L1046" s="153"/>
      <c r="M1046" s="153"/>
      <c r="N1046" s="153"/>
      <c r="O1046" s="1019"/>
    </row>
    <row r="1047" spans="1:15" ht="20">
      <c r="A1047" s="1036"/>
      <c r="B1047" s="153"/>
      <c r="C1047" s="153"/>
      <c r="D1047" s="153"/>
      <c r="E1047" s="153"/>
      <c r="F1047" s="153"/>
      <c r="G1047" s="153"/>
      <c r="H1047" s="153"/>
      <c r="I1047" s="153"/>
      <c r="J1047" s="153"/>
      <c r="K1047" s="153"/>
      <c r="L1047" s="153"/>
      <c r="M1047" s="153"/>
      <c r="N1047" s="153"/>
      <c r="O1047" s="1019"/>
    </row>
    <row r="1048" spans="1:15" ht="20">
      <c r="A1048" s="1036"/>
      <c r="B1048" s="153"/>
      <c r="C1048" s="153"/>
      <c r="D1048" s="153"/>
      <c r="E1048" s="153"/>
      <c r="F1048" s="153"/>
      <c r="G1048" s="153"/>
      <c r="H1048" s="153"/>
      <c r="I1048" s="153"/>
      <c r="J1048" s="153"/>
      <c r="K1048" s="153"/>
      <c r="L1048" s="153"/>
      <c r="M1048" s="153"/>
      <c r="N1048" s="153"/>
      <c r="O1048" s="1019"/>
    </row>
    <row r="1049" spans="1:15" ht="20">
      <c r="A1049" s="1036"/>
      <c r="B1049" s="153"/>
      <c r="C1049" s="153"/>
      <c r="D1049" s="153"/>
      <c r="E1049" s="153"/>
      <c r="F1049" s="153"/>
      <c r="G1049" s="153"/>
      <c r="H1049" s="153"/>
      <c r="I1049" s="153"/>
      <c r="J1049" s="153"/>
      <c r="K1049" s="153"/>
      <c r="L1049" s="153"/>
      <c r="M1049" s="153"/>
      <c r="N1049" s="153"/>
      <c r="O1049" s="1019"/>
    </row>
    <row r="1050" spans="1:15" ht="20">
      <c r="A1050" s="1036"/>
      <c r="B1050" s="153"/>
      <c r="C1050" s="153"/>
      <c r="D1050" s="153"/>
      <c r="E1050" s="153"/>
      <c r="F1050" s="153"/>
      <c r="G1050" s="153"/>
      <c r="H1050" s="153"/>
      <c r="I1050" s="153"/>
      <c r="J1050" s="153"/>
      <c r="K1050" s="153"/>
      <c r="L1050" s="153"/>
      <c r="M1050" s="153"/>
      <c r="N1050" s="153"/>
      <c r="O1050" s="1019"/>
    </row>
    <row r="1051" spans="1:15" ht="20">
      <c r="A1051" s="1036"/>
      <c r="B1051" s="153"/>
      <c r="C1051" s="153"/>
      <c r="D1051" s="153"/>
      <c r="E1051" s="153"/>
      <c r="F1051" s="153"/>
      <c r="G1051" s="153"/>
      <c r="H1051" s="153"/>
      <c r="I1051" s="153"/>
      <c r="J1051" s="153"/>
      <c r="K1051" s="153"/>
      <c r="L1051" s="153"/>
      <c r="M1051" s="153"/>
      <c r="N1051" s="153"/>
      <c r="O1051" s="1019"/>
    </row>
    <row r="1052" spans="1:15" ht="20">
      <c r="A1052" s="1036"/>
      <c r="B1052" s="153"/>
      <c r="C1052" s="153"/>
      <c r="D1052" s="153"/>
      <c r="E1052" s="153"/>
      <c r="F1052" s="153"/>
      <c r="G1052" s="153"/>
      <c r="H1052" s="153"/>
      <c r="I1052" s="153"/>
      <c r="J1052" s="153"/>
      <c r="K1052" s="153"/>
      <c r="L1052" s="153"/>
      <c r="M1052" s="153"/>
      <c r="N1052" s="153"/>
      <c r="O1052" s="1019"/>
    </row>
    <row r="1053" spans="1:15" ht="20">
      <c r="A1053" s="1036"/>
      <c r="B1053" s="153"/>
      <c r="C1053" s="153"/>
      <c r="D1053" s="153"/>
      <c r="E1053" s="153"/>
      <c r="F1053" s="153"/>
      <c r="G1053" s="153"/>
      <c r="H1053" s="153"/>
      <c r="I1053" s="153"/>
      <c r="J1053" s="153"/>
      <c r="K1053" s="153"/>
      <c r="L1053" s="153"/>
      <c r="M1053" s="153"/>
      <c r="N1053" s="153"/>
      <c r="O1053" s="1019"/>
    </row>
    <row r="1054" spans="1:15" ht="20">
      <c r="A1054" s="1036"/>
      <c r="B1054" s="153"/>
      <c r="C1054" s="153"/>
      <c r="D1054" s="153"/>
      <c r="E1054" s="153"/>
      <c r="F1054" s="153"/>
      <c r="G1054" s="153"/>
      <c r="H1054" s="153"/>
      <c r="I1054" s="153"/>
      <c r="J1054" s="153"/>
      <c r="K1054" s="153"/>
      <c r="L1054" s="153"/>
      <c r="M1054" s="153"/>
      <c r="N1054" s="153"/>
      <c r="O1054" s="1019"/>
    </row>
    <row r="1055" spans="1:15" ht="20">
      <c r="A1055" s="1036"/>
      <c r="B1055" s="153"/>
      <c r="C1055" s="153"/>
      <c r="D1055" s="153"/>
      <c r="E1055" s="153"/>
      <c r="F1055" s="153"/>
      <c r="G1055" s="153"/>
      <c r="H1055" s="153"/>
      <c r="I1055" s="153"/>
      <c r="J1055" s="153"/>
      <c r="K1055" s="153"/>
      <c r="L1055" s="153"/>
      <c r="M1055" s="153"/>
      <c r="N1055" s="153"/>
      <c r="O1055" s="1019"/>
    </row>
    <row r="1056" spans="1:15" ht="20">
      <c r="A1056" s="1036"/>
      <c r="B1056" s="153"/>
      <c r="C1056" s="153"/>
      <c r="D1056" s="153"/>
      <c r="E1056" s="153"/>
      <c r="F1056" s="153"/>
      <c r="G1056" s="153"/>
      <c r="H1056" s="153"/>
      <c r="I1056" s="153"/>
      <c r="J1056" s="153"/>
      <c r="K1056" s="153"/>
      <c r="L1056" s="153"/>
      <c r="M1056" s="153"/>
      <c r="N1056" s="153"/>
      <c r="O1056" s="1019"/>
    </row>
    <row r="1057" spans="1:15" ht="20">
      <c r="A1057" s="1036"/>
      <c r="B1057" s="153"/>
      <c r="C1057" s="153"/>
      <c r="D1057" s="153"/>
      <c r="E1057" s="153"/>
      <c r="F1057" s="153"/>
      <c r="G1057" s="153"/>
      <c r="H1057" s="153"/>
      <c r="I1057" s="153"/>
      <c r="J1057" s="153"/>
      <c r="K1057" s="153"/>
      <c r="L1057" s="153"/>
      <c r="M1057" s="153"/>
      <c r="N1057" s="153"/>
      <c r="O1057" s="1019"/>
    </row>
    <row r="1058" spans="1:15" ht="20">
      <c r="A1058" s="1036"/>
      <c r="B1058" s="153"/>
      <c r="C1058" s="153"/>
      <c r="D1058" s="153"/>
      <c r="E1058" s="153"/>
      <c r="F1058" s="153"/>
      <c r="G1058" s="153"/>
      <c r="H1058" s="153"/>
      <c r="I1058" s="153"/>
      <c r="J1058" s="153"/>
      <c r="K1058" s="153"/>
      <c r="L1058" s="153"/>
      <c r="M1058" s="153"/>
      <c r="N1058" s="153"/>
      <c r="O1058" s="1019"/>
    </row>
    <row r="1059" spans="1:15" ht="20">
      <c r="A1059" s="1036"/>
      <c r="B1059" s="153"/>
      <c r="C1059" s="153"/>
      <c r="D1059" s="153"/>
      <c r="E1059" s="153"/>
      <c r="F1059" s="153"/>
      <c r="G1059" s="153"/>
      <c r="H1059" s="153"/>
      <c r="I1059" s="153"/>
      <c r="J1059" s="153"/>
      <c r="K1059" s="153"/>
      <c r="L1059" s="153"/>
      <c r="M1059" s="153"/>
      <c r="N1059" s="153"/>
      <c r="O1059" s="1019"/>
    </row>
    <row r="1060" spans="1:15" ht="20">
      <c r="A1060" s="1036"/>
      <c r="B1060" s="153"/>
      <c r="C1060" s="153"/>
      <c r="D1060" s="153"/>
      <c r="E1060" s="153"/>
      <c r="F1060" s="153"/>
      <c r="G1060" s="153"/>
      <c r="H1060" s="153"/>
      <c r="I1060" s="153"/>
      <c r="J1060" s="153"/>
      <c r="K1060" s="153"/>
      <c r="L1060" s="153"/>
      <c r="M1060" s="153"/>
      <c r="N1060" s="153"/>
      <c r="O1060" s="1019"/>
    </row>
    <row r="1061" spans="1:15" ht="20">
      <c r="A1061" s="1036"/>
      <c r="B1061" s="153"/>
      <c r="C1061" s="153"/>
      <c r="D1061" s="153"/>
      <c r="E1061" s="153"/>
      <c r="F1061" s="153"/>
      <c r="G1061" s="153"/>
      <c r="H1061" s="153"/>
      <c r="I1061" s="153"/>
      <c r="J1061" s="153"/>
      <c r="K1061" s="153"/>
      <c r="L1061" s="153"/>
      <c r="M1061" s="153"/>
      <c r="N1061" s="153"/>
      <c r="O1061" s="1019"/>
    </row>
    <row r="1062" spans="1:15" ht="20">
      <c r="A1062" s="1036"/>
      <c r="B1062" s="153"/>
      <c r="C1062" s="153"/>
      <c r="D1062" s="153"/>
      <c r="E1062" s="153"/>
      <c r="F1062" s="153"/>
      <c r="G1062" s="153"/>
      <c r="H1062" s="153"/>
      <c r="I1062" s="153"/>
      <c r="J1062" s="153"/>
      <c r="K1062" s="153"/>
      <c r="L1062" s="153"/>
      <c r="M1062" s="153"/>
      <c r="N1062" s="153"/>
      <c r="O1062" s="1019"/>
    </row>
    <row r="1063" spans="1:15" ht="20">
      <c r="A1063" s="1036"/>
      <c r="B1063" s="153"/>
      <c r="C1063" s="153"/>
      <c r="D1063" s="153"/>
      <c r="E1063" s="153"/>
      <c r="F1063" s="153"/>
      <c r="G1063" s="153"/>
      <c r="H1063" s="153"/>
      <c r="I1063" s="153"/>
      <c r="J1063" s="153"/>
      <c r="K1063" s="153"/>
      <c r="L1063" s="153"/>
      <c r="M1063" s="153"/>
      <c r="N1063" s="153"/>
      <c r="O1063" s="1019"/>
    </row>
    <row r="1064" spans="1:15" ht="20">
      <c r="A1064" s="1036"/>
      <c r="B1064" s="153"/>
      <c r="C1064" s="153"/>
      <c r="D1064" s="153"/>
      <c r="E1064" s="153"/>
      <c r="F1064" s="153"/>
      <c r="G1064" s="153"/>
      <c r="H1064" s="153"/>
      <c r="I1064" s="153"/>
      <c r="J1064" s="153"/>
      <c r="K1064" s="153"/>
      <c r="L1064" s="153"/>
      <c r="M1064" s="153"/>
      <c r="N1064" s="153"/>
      <c r="O1064" s="1017"/>
    </row>
    <row r="1065" spans="1:15" ht="20">
      <c r="A1065" s="1036"/>
      <c r="B1065" s="153"/>
      <c r="C1065" s="153"/>
      <c r="D1065" s="153"/>
      <c r="E1065" s="153"/>
      <c r="F1065" s="153"/>
      <c r="G1065" s="153"/>
      <c r="H1065" s="153"/>
      <c r="I1065" s="153"/>
      <c r="J1065" s="153"/>
      <c r="K1065" s="153"/>
      <c r="L1065" s="153"/>
      <c r="M1065" s="153"/>
      <c r="N1065" s="153"/>
      <c r="O1065" s="1019"/>
    </row>
    <row r="1066" spans="1:15" ht="20">
      <c r="A1066" s="1036"/>
      <c r="B1066" s="153"/>
      <c r="C1066" s="153"/>
      <c r="D1066" s="153"/>
      <c r="E1066" s="153"/>
      <c r="F1066" s="153"/>
      <c r="G1066" s="153"/>
      <c r="H1066" s="153"/>
      <c r="I1066" s="153"/>
      <c r="J1066" s="153"/>
      <c r="K1066" s="153"/>
      <c r="L1066" s="153"/>
      <c r="M1066" s="153"/>
      <c r="N1066" s="153"/>
      <c r="O1066" s="1019"/>
    </row>
    <row r="1067" spans="1:15" ht="20">
      <c r="A1067" s="1036"/>
      <c r="B1067" s="153"/>
      <c r="C1067" s="153"/>
      <c r="D1067" s="153"/>
      <c r="E1067" s="153"/>
      <c r="F1067" s="153"/>
      <c r="G1067" s="153"/>
      <c r="H1067" s="153"/>
      <c r="I1067" s="153"/>
      <c r="J1067" s="153"/>
      <c r="K1067" s="153"/>
      <c r="L1067" s="153"/>
      <c r="M1067" s="153"/>
      <c r="N1067" s="153"/>
      <c r="O1067" s="1019"/>
    </row>
    <row r="1068" spans="1:15" ht="20">
      <c r="A1068" s="1036"/>
      <c r="B1068" s="153"/>
      <c r="C1068" s="153"/>
      <c r="D1068" s="153"/>
      <c r="E1068" s="153"/>
      <c r="F1068" s="153"/>
      <c r="G1068" s="153"/>
      <c r="H1068" s="153"/>
      <c r="I1068" s="153"/>
      <c r="J1068" s="153"/>
      <c r="K1068" s="153"/>
      <c r="L1068" s="153"/>
      <c r="M1068" s="153"/>
      <c r="N1068" s="153"/>
      <c r="O1068" s="1019"/>
    </row>
    <row r="1069" spans="1:15" ht="20">
      <c r="A1069" s="1036"/>
      <c r="B1069" s="153"/>
      <c r="C1069" s="153"/>
      <c r="D1069" s="153"/>
      <c r="E1069" s="153"/>
      <c r="F1069" s="153"/>
      <c r="G1069" s="153"/>
      <c r="H1069" s="153"/>
      <c r="I1069" s="153"/>
      <c r="J1069" s="153"/>
      <c r="K1069" s="153"/>
      <c r="L1069" s="153"/>
      <c r="M1069" s="153"/>
      <c r="N1069" s="153"/>
      <c r="O1069" s="1019"/>
    </row>
    <row r="1070" spans="1:15" ht="11" customHeight="1">
      <c r="A1070" s="1036"/>
      <c r="B1070" s="153"/>
      <c r="C1070" s="153"/>
      <c r="D1070" s="153"/>
      <c r="E1070" s="153"/>
      <c r="F1070" s="444"/>
      <c r="G1070" s="444"/>
      <c r="H1070" s="444"/>
      <c r="I1070" s="444"/>
      <c r="J1070" s="153"/>
      <c r="K1070" s="153"/>
      <c r="L1070" s="153"/>
      <c r="M1070" s="153"/>
      <c r="N1070" s="153"/>
      <c r="O1070" s="1019"/>
    </row>
    <row r="1071" spans="1:15" ht="11" customHeight="1">
      <c r="A1071" s="1036"/>
      <c r="B1071" s="153"/>
      <c r="C1071" s="153"/>
      <c r="D1071" s="153"/>
      <c r="E1071" s="831" t="s">
        <v>2918</v>
      </c>
      <c r="F1071" s="831"/>
      <c r="G1071" s="831"/>
      <c r="H1071" s="831"/>
      <c r="I1071" s="831"/>
      <c r="J1071" s="831"/>
      <c r="K1071" s="831"/>
      <c r="L1071" s="153"/>
      <c r="M1071" s="153"/>
      <c r="N1071" s="153"/>
      <c r="O1071" s="1019"/>
    </row>
    <row r="1072" spans="1:15" ht="11" customHeight="1">
      <c r="A1072" s="1036"/>
      <c r="B1072" s="153"/>
      <c r="C1072" s="153"/>
      <c r="D1072" s="153"/>
      <c r="E1072" s="831"/>
      <c r="F1072" s="831"/>
      <c r="G1072" s="831"/>
      <c r="H1072" s="831"/>
      <c r="I1072" s="831"/>
      <c r="J1072" s="831"/>
      <c r="K1072" s="831"/>
      <c r="L1072" s="153"/>
      <c r="M1072" s="153"/>
      <c r="N1072" s="153"/>
      <c r="O1072" s="1019"/>
    </row>
    <row r="1073" spans="1:15" ht="11" customHeight="1">
      <c r="A1073" s="1036"/>
      <c r="B1073" s="153"/>
      <c r="C1073" s="153"/>
      <c r="D1073" s="153"/>
      <c r="E1073" s="153"/>
      <c r="F1073" s="444"/>
      <c r="G1073" s="444"/>
      <c r="H1073" s="444"/>
      <c r="I1073" s="444"/>
      <c r="J1073" s="153"/>
      <c r="K1073" s="153"/>
      <c r="L1073" s="153"/>
      <c r="M1073" s="153"/>
      <c r="N1073" s="153"/>
      <c r="O1073" s="1019"/>
    </row>
    <row r="1074" spans="1:15" ht="11" customHeight="1">
      <c r="A1074" s="1036"/>
      <c r="B1074" s="153"/>
      <c r="C1074" s="444"/>
      <c r="D1074" s="444"/>
      <c r="E1074" s="153"/>
      <c r="F1074" s="444"/>
      <c r="G1074" s="444"/>
      <c r="H1074" s="444"/>
      <c r="I1074" s="444"/>
      <c r="J1074" s="153"/>
      <c r="K1074" s="153"/>
      <c r="L1074" s="153"/>
      <c r="M1074" s="153"/>
      <c r="N1074" s="153"/>
      <c r="O1074" s="1019"/>
    </row>
    <row r="1075" spans="1:15" ht="11" customHeight="1">
      <c r="A1075" s="1036"/>
      <c r="B1075" s="153"/>
      <c r="C1075" s="153"/>
      <c r="D1075" s="153"/>
      <c r="E1075" s="153"/>
      <c r="F1075" s="444"/>
      <c r="G1075" s="444"/>
      <c r="H1075" s="444"/>
      <c r="I1075" s="444"/>
      <c r="J1075" s="153"/>
      <c r="K1075" s="153"/>
      <c r="L1075" s="153"/>
      <c r="M1075" s="153"/>
      <c r="N1075" s="153"/>
      <c r="O1075" s="1019"/>
    </row>
    <row r="1076" spans="1:15" ht="11" customHeight="1">
      <c r="A1076" s="1036"/>
      <c r="B1076" s="153"/>
      <c r="C1076" s="153"/>
      <c r="D1076" s="153"/>
      <c r="E1076" s="153"/>
      <c r="F1076" s="444"/>
      <c r="G1076" s="301"/>
      <c r="H1076" s="306"/>
      <c r="I1076" s="444"/>
      <c r="J1076" s="153"/>
      <c r="K1076" s="153"/>
      <c r="L1076" s="153"/>
      <c r="M1076" s="153"/>
      <c r="N1076" s="153"/>
      <c r="O1076" s="1019"/>
    </row>
    <row r="1077" spans="1:15" ht="11" customHeight="1">
      <c r="A1077" s="1036"/>
      <c r="B1077" s="153"/>
      <c r="C1077" s="153"/>
      <c r="D1077" s="153"/>
      <c r="E1077" s="153"/>
      <c r="F1077" s="444"/>
      <c r="G1077" s="445"/>
      <c r="H1077" s="445"/>
      <c r="I1077" s="444"/>
      <c r="J1077" s="153"/>
      <c r="K1077" s="153"/>
      <c r="L1077" s="153"/>
      <c r="M1077" s="153"/>
      <c r="N1077" s="153"/>
      <c r="O1077" s="1019"/>
    </row>
    <row r="1078" spans="1:15" ht="11" customHeight="1">
      <c r="A1078" s="1036"/>
      <c r="B1078" s="153"/>
      <c r="C1078" s="444"/>
      <c r="D1078" s="444"/>
      <c r="E1078" s="153"/>
      <c r="F1078" s="153"/>
      <c r="G1078" s="153"/>
      <c r="H1078" s="153"/>
      <c r="I1078" s="153"/>
      <c r="J1078" s="153"/>
      <c r="K1078" s="153"/>
      <c r="L1078" s="153"/>
      <c r="M1078" s="153"/>
      <c r="N1078" s="153"/>
      <c r="O1078" s="1019"/>
    </row>
    <row r="1079" spans="1:15" ht="11" customHeight="1">
      <c r="A1079" s="1036"/>
      <c r="B1079" s="153"/>
      <c r="E1079" s="153"/>
      <c r="F1079" s="153"/>
      <c r="G1079" s="153"/>
      <c r="H1079" s="153"/>
      <c r="I1079" s="153"/>
      <c r="J1079" s="153"/>
      <c r="K1079" s="153"/>
      <c r="L1079" s="153"/>
      <c r="M1079" s="153"/>
      <c r="N1079" s="153"/>
      <c r="O1079" s="1019"/>
    </row>
    <row r="1080" spans="1:15" ht="11" customHeight="1">
      <c r="A1080" s="1036"/>
      <c r="B1080" s="153"/>
      <c r="E1080" s="153"/>
      <c r="F1080" s="153"/>
      <c r="G1080" s="153"/>
      <c r="H1080" s="153"/>
      <c r="I1080" s="153"/>
      <c r="J1080" s="153"/>
      <c r="K1080" s="153"/>
      <c r="L1080" s="153"/>
      <c r="M1080" s="153"/>
      <c r="N1080" s="153"/>
      <c r="O1080" s="1019"/>
    </row>
    <row r="1081" spans="1:15" ht="11" customHeight="1">
      <c r="A1081" s="1036"/>
      <c r="B1081" s="153"/>
      <c r="C1081" s="153"/>
      <c r="D1081" s="153"/>
      <c r="E1081" s="153"/>
      <c r="F1081" s="153"/>
      <c r="G1081" s="153"/>
      <c r="H1081" s="153"/>
      <c r="I1081" s="153"/>
      <c r="J1081" s="153"/>
      <c r="K1081" s="153"/>
      <c r="L1081" s="153"/>
      <c r="M1081" s="153"/>
      <c r="N1081" s="153"/>
      <c r="O1081" s="1019"/>
    </row>
    <row r="1082" spans="1:15" ht="11" customHeight="1">
      <c r="A1082" s="1036"/>
      <c r="B1082" s="153"/>
      <c r="C1082" s="629" t="s">
        <v>2905</v>
      </c>
      <c r="D1082" s="629"/>
      <c r="E1082" s="153"/>
      <c r="F1082" s="153"/>
      <c r="G1082" s="153"/>
      <c r="H1082" s="153"/>
      <c r="I1082" s="153"/>
      <c r="J1082" s="153"/>
      <c r="K1082" s="153"/>
      <c r="L1082" s="153"/>
      <c r="M1082" s="153"/>
      <c r="N1082" s="153"/>
      <c r="O1082" s="1019"/>
    </row>
    <row r="1083" spans="1:15" ht="11" customHeight="1">
      <c r="A1083" s="1036"/>
      <c r="B1083" s="153"/>
      <c r="C1083" s="153"/>
      <c r="D1083" s="153"/>
      <c r="E1083" s="153"/>
      <c r="F1083" s="153"/>
      <c r="G1083" s="153"/>
      <c r="H1083" s="153"/>
      <c r="I1083" s="153"/>
      <c r="J1083" s="153"/>
      <c r="K1083" s="153"/>
      <c r="L1083" s="153"/>
      <c r="M1083" s="153"/>
      <c r="N1083" s="153"/>
      <c r="O1083" s="1019"/>
    </row>
    <row r="1084" spans="1:15" ht="11" customHeight="1">
      <c r="A1084" s="1036"/>
      <c r="B1084" s="153"/>
      <c r="C1084" s="629" t="str">
        <f>"Доска обвязочная "&amp;E1091&amp;" х "&amp;G1091&amp;" мм"</f>
        <v>Доска обвязочная 200 х 50 мм</v>
      </c>
      <c r="D1084" s="629"/>
      <c r="E1084" s="438"/>
      <c r="F1084" s="440"/>
      <c r="G1084" s="153"/>
      <c r="H1084" s="153"/>
      <c r="I1084" s="153"/>
      <c r="J1084" s="153"/>
      <c r="K1084" s="153"/>
      <c r="L1084" s="153"/>
      <c r="M1084" s="153"/>
      <c r="N1084" s="153"/>
      <c r="O1084" s="1019"/>
    </row>
    <row r="1085" spans="1:15" ht="11" customHeight="1">
      <c r="A1085" s="1036"/>
      <c r="B1085" s="153"/>
      <c r="C1085" s="153"/>
      <c r="D1085" s="153"/>
      <c r="E1085" s="153"/>
      <c r="F1085" s="153"/>
      <c r="G1085" s="153"/>
      <c r="H1085" s="153"/>
      <c r="I1085" s="153"/>
      <c r="J1085" s="153"/>
      <c r="K1085" s="153"/>
      <c r="L1085" s="153"/>
      <c r="M1085" s="153"/>
      <c r="N1085" s="153"/>
      <c r="O1085" s="1019"/>
    </row>
    <row r="1086" spans="1:15" ht="11" customHeight="1">
      <c r="A1086" s="1036"/>
      <c r="B1086" s="153"/>
      <c r="C1086" s="629" t="s">
        <v>2920</v>
      </c>
      <c r="D1086" s="629"/>
      <c r="E1086" s="153"/>
      <c r="F1086" s="153"/>
      <c r="G1086" s="153"/>
      <c r="H1086" s="153"/>
      <c r="I1086" s="153"/>
      <c r="J1086" s="153"/>
      <c r="K1086" s="153"/>
      <c r="L1086" s="153"/>
      <c r="M1086" s="153"/>
      <c r="N1086" s="153"/>
      <c r="O1086" s="1019"/>
    </row>
    <row r="1087" spans="1:15" ht="11" customHeight="1">
      <c r="A1087" s="1036"/>
      <c r="B1087" s="153"/>
      <c r="C1087" s="153"/>
      <c r="D1087" s="153"/>
      <c r="E1087" s="439"/>
      <c r="F1087" s="153"/>
      <c r="G1087" s="153"/>
      <c r="H1087" s="153"/>
      <c r="I1087" s="153"/>
      <c r="J1087" s="153"/>
      <c r="K1087" s="153"/>
      <c r="L1087" s="153"/>
      <c r="M1087" s="153"/>
      <c r="N1087" s="153"/>
      <c r="O1087" s="1019"/>
    </row>
    <row r="1088" spans="1:15" ht="11" customHeight="1">
      <c r="A1088" s="1036"/>
      <c r="B1088" s="153"/>
      <c r="C1088" s="629" t="str">
        <f>"Контррейка 25х"&amp;G1091&amp;"мм"</f>
        <v>Контррейка 25х50мм</v>
      </c>
      <c r="D1088" s="629"/>
      <c r="E1088" s="443"/>
      <c r="F1088" s="153"/>
      <c r="G1088" s="153"/>
      <c r="H1088" s="153"/>
      <c r="I1088" s="153"/>
      <c r="J1088" s="153"/>
      <c r="K1088" s="153"/>
      <c r="L1088" s="153"/>
      <c r="M1088" s="153"/>
      <c r="N1088" s="153"/>
      <c r="O1088" s="1019"/>
    </row>
    <row r="1089" spans="1:15" ht="11" customHeight="1">
      <c r="A1089" s="1036"/>
      <c r="B1089" s="153"/>
      <c r="I1089" s="153"/>
      <c r="J1089" s="153"/>
      <c r="K1089" s="153"/>
      <c r="L1089" s="153"/>
      <c r="M1089" s="153"/>
      <c r="N1089" s="153"/>
      <c r="O1089" s="1019"/>
    </row>
    <row r="1090" spans="1:15" ht="11" customHeight="1">
      <c r="A1090" s="1036"/>
      <c r="B1090" s="153"/>
      <c r="C1090" s="629" t="s">
        <v>2908</v>
      </c>
      <c r="D1090" s="629"/>
      <c r="I1090" s="153"/>
      <c r="J1090" s="153"/>
      <c r="K1090" s="153"/>
      <c r="L1090" s="153"/>
      <c r="M1090" s="153"/>
      <c r="N1090" s="153"/>
      <c r="O1090" s="1019"/>
    </row>
    <row r="1091" spans="1:15" ht="11" customHeight="1">
      <c r="A1091" s="1036"/>
      <c r="B1091" s="153"/>
      <c r="C1091" s="153"/>
      <c r="D1091" s="153"/>
      <c r="E1091" s="703">
        <f>E971</f>
        <v>200</v>
      </c>
      <c r="F1091" s="703" t="s">
        <v>795</v>
      </c>
      <c r="G1091" s="703">
        <f>G971</f>
        <v>50</v>
      </c>
      <c r="H1091" s="153"/>
      <c r="I1091" s="153"/>
      <c r="J1091" s="153"/>
      <c r="K1091" s="153"/>
      <c r="L1091" s="153"/>
      <c r="M1091" s="153"/>
      <c r="N1091" s="153"/>
      <c r="O1091" s="1019"/>
    </row>
    <row r="1092" spans="1:15" ht="11" customHeight="1">
      <c r="A1092" s="1036"/>
      <c r="B1092" s="153"/>
      <c r="C1092" s="629" t="s">
        <v>2911</v>
      </c>
      <c r="D1092" s="629"/>
      <c r="E1092" s="703"/>
      <c r="F1092" s="703"/>
      <c r="G1092" s="703"/>
      <c r="H1092" s="380" t="s">
        <v>2889</v>
      </c>
      <c r="I1092" s="153"/>
      <c r="J1092" s="153"/>
      <c r="K1092" s="153"/>
      <c r="L1092" s="153"/>
      <c r="M1092" s="153"/>
      <c r="N1092" s="153"/>
      <c r="O1092" s="1019"/>
    </row>
    <row r="1093" spans="1:15" ht="11" customHeight="1">
      <c r="A1093" s="1036"/>
      <c r="B1093" s="153"/>
      <c r="C1093" s="153"/>
      <c r="D1093" s="153"/>
      <c r="E1093" s="153"/>
      <c r="F1093" s="153"/>
      <c r="G1093" s="153"/>
      <c r="H1093" s="153"/>
      <c r="I1093" s="153"/>
      <c r="J1093" s="153"/>
      <c r="K1093" s="153"/>
      <c r="L1093" s="153"/>
      <c r="M1093" s="153"/>
      <c r="N1093" s="153"/>
      <c r="O1093" s="1019"/>
    </row>
    <row r="1094" spans="1:15" ht="11" customHeight="1">
      <c r="A1094" s="1036"/>
      <c r="B1094" s="153"/>
      <c r="C1094" s="629" t="str">
        <f>"Утеплитель (вермикулит )"&amp;(E1091-25)&amp;"мм"</f>
        <v>Утеплитель (вермикулит )175мм</v>
      </c>
      <c r="D1094" s="629"/>
      <c r="E1094" s="441"/>
      <c r="F1094" s="438"/>
      <c r="G1094" s="153"/>
      <c r="H1094" s="153"/>
      <c r="I1094" s="153"/>
      <c r="J1094" s="153"/>
      <c r="K1094" s="153"/>
      <c r="L1094" s="153"/>
      <c r="M1094" s="153"/>
      <c r="N1094" s="153"/>
      <c r="O1094" s="1019"/>
    </row>
    <row r="1095" spans="1:15" ht="11" customHeight="1">
      <c r="A1095" s="1036"/>
      <c r="B1095" s="153"/>
      <c r="C1095" s="153"/>
      <c r="D1095" s="153"/>
      <c r="E1095" s="153"/>
      <c r="F1095" s="153"/>
      <c r="G1095" s="153"/>
      <c r="H1095" s="153"/>
      <c r="I1095" s="153"/>
      <c r="J1095" s="153"/>
      <c r="K1095" s="153"/>
      <c r="L1095" s="153"/>
      <c r="M1095" s="153"/>
      <c r="N1095" s="153"/>
      <c r="O1095" s="1019"/>
    </row>
    <row r="1096" spans="1:15" ht="11" customHeight="1">
      <c r="A1096" s="1036"/>
      <c r="B1096" s="153"/>
      <c r="C1096" s="629" t="s">
        <v>2907</v>
      </c>
      <c r="D1096" s="629"/>
      <c r="E1096" s="153"/>
      <c r="F1096" s="153"/>
      <c r="G1096" s="153"/>
      <c r="H1096" s="153"/>
      <c r="I1096" s="153"/>
      <c r="J1096" s="153"/>
      <c r="K1096" s="153"/>
      <c r="L1096" s="153"/>
      <c r="M1096" s="153"/>
      <c r="N1096" s="153"/>
      <c r="O1096" s="1019"/>
    </row>
    <row r="1097" spans="1:15" ht="11" customHeight="1">
      <c r="A1097" s="1036"/>
      <c r="B1097" s="153"/>
      <c r="C1097" s="153"/>
      <c r="D1097" s="153"/>
      <c r="E1097" s="153"/>
      <c r="F1097" s="153"/>
      <c r="G1097" s="153"/>
      <c r="H1097" s="153"/>
      <c r="I1097" s="153"/>
      <c r="J1097" s="153"/>
      <c r="K1097" s="153"/>
      <c r="L1097" s="153"/>
      <c r="M1097" s="153"/>
      <c r="N1097" s="153"/>
      <c r="O1097" s="1019"/>
    </row>
    <row r="1098" spans="1:15" ht="11" customHeight="1">
      <c r="A1098" s="1036"/>
      <c r="B1098" s="153"/>
      <c r="C1098" s="629" t="s">
        <v>2919</v>
      </c>
      <c r="D1098" s="629"/>
      <c r="E1098" s="629"/>
      <c r="F1098" s="629"/>
      <c r="G1098" s="153"/>
      <c r="H1098" s="153"/>
      <c r="I1098" s="153"/>
      <c r="J1098" s="153"/>
      <c r="K1098" s="153"/>
      <c r="L1098" s="153"/>
      <c r="M1098" s="153"/>
      <c r="N1098" s="153"/>
      <c r="O1098" s="1019"/>
    </row>
    <row r="1099" spans="1:15" ht="11" customHeight="1">
      <c r="A1099" s="1036"/>
      <c r="B1099" s="153"/>
      <c r="C1099" s="153"/>
      <c r="D1099" s="153"/>
      <c r="E1099" s="153"/>
      <c r="F1099" s="153"/>
      <c r="G1099" s="153"/>
      <c r="H1099" s="153"/>
      <c r="I1099" s="153"/>
      <c r="J1099" s="153"/>
      <c r="K1099" s="153"/>
      <c r="L1099" s="153"/>
      <c r="M1099" s="153"/>
      <c r="N1099" s="153"/>
      <c r="O1099" s="1019"/>
    </row>
    <row r="1100" spans="1:15" ht="11" customHeight="1" thickBot="1">
      <c r="A1100" s="1036"/>
      <c r="B1100" s="153"/>
      <c r="C1100" s="153"/>
      <c r="D1100" s="153"/>
      <c r="E1100" s="153"/>
      <c r="F1100" s="153"/>
      <c r="G1100" s="153"/>
      <c r="H1100" s="153"/>
      <c r="I1100" s="153"/>
      <c r="J1100" s="153"/>
      <c r="K1100" s="153"/>
      <c r="L1100" s="153"/>
      <c r="M1100" s="153"/>
      <c r="N1100" s="153"/>
      <c r="O1100" s="1019"/>
    </row>
    <row r="1101" spans="1:15" ht="11" customHeight="1" thickTop="1">
      <c r="A1101" s="1036"/>
      <c r="B1101" s="1126" t="s">
        <v>2921</v>
      </c>
      <c r="C1101" s="1127"/>
      <c r="D1101" s="1127"/>
      <c r="E1101" s="1127"/>
      <c r="F1101" s="1127"/>
      <c r="G1101" s="1127"/>
      <c r="H1101" s="1127"/>
      <c r="I1101" s="1127"/>
      <c r="J1101" s="1127"/>
      <c r="K1101" s="1125">
        <v>60</v>
      </c>
      <c r="L1101" s="1128" t="s">
        <v>2922</v>
      </c>
      <c r="M1101" s="1128"/>
      <c r="N1101" s="1129"/>
      <c r="O1101" s="1019"/>
    </row>
    <row r="1102" spans="1:15" ht="11" customHeight="1">
      <c r="A1102" s="1036"/>
      <c r="B1102" s="1130"/>
      <c r="C1102" s="1131"/>
      <c r="D1102" s="1131"/>
      <c r="E1102" s="1131"/>
      <c r="F1102" s="1131"/>
      <c r="G1102" s="1131"/>
      <c r="H1102" s="1131"/>
      <c r="I1102" s="1131"/>
      <c r="J1102" s="1131"/>
      <c r="K1102" s="833"/>
      <c r="L1102" s="1132"/>
      <c r="M1102" s="1132"/>
      <c r="N1102" s="1133"/>
      <c r="O1102" s="1019"/>
    </row>
    <row r="1103" spans="1:15" ht="17.5" customHeight="1">
      <c r="A1103" s="1029" t="str">
        <f>HYPERLINK("[Proekt-kalkulyator dlya 3 chastotyi kristallicheskogo kupola.xlsx]G475","КАРКАСЫ")</f>
        <v>КАРКАСЫ</v>
      </c>
      <c r="B1103" s="803" t="s">
        <v>671</v>
      </c>
      <c r="C1103" s="803"/>
      <c r="D1103" s="803"/>
      <c r="E1103" s="803"/>
      <c r="F1103" s="804"/>
      <c r="G1103" s="640" t="s">
        <v>672</v>
      </c>
      <c r="H1103" s="641"/>
      <c r="I1103" s="639" t="s">
        <v>816</v>
      </c>
      <c r="J1103" s="641"/>
      <c r="K1103" s="639" t="s">
        <v>680</v>
      </c>
      <c r="L1103" s="641"/>
      <c r="M1103" s="839" t="s">
        <v>681</v>
      </c>
      <c r="N1103" s="1001"/>
      <c r="O1103" s="1019"/>
    </row>
    <row r="1104" spans="1:15" ht="11" customHeight="1">
      <c r="A1104" s="1030"/>
      <c r="B1104" s="627" t="str">
        <f>B987</f>
        <v>Доска 100-150х25мм</v>
      </c>
      <c r="C1104" s="627"/>
      <c r="D1104" s="627"/>
      <c r="E1104" s="627"/>
      <c r="F1104" s="628"/>
      <c r="G1104" s="62">
        <f>G987*K1101%</f>
        <v>45.535726198358965</v>
      </c>
      <c r="H1104" s="52" t="s">
        <v>840</v>
      </c>
      <c r="I1104" s="48">
        <f>G1104*0.025</f>
        <v>1.1383931549589741</v>
      </c>
      <c r="J1104" s="52" t="s">
        <v>72</v>
      </c>
      <c r="K1104" s="447">
        <f>K987</f>
        <v>6000</v>
      </c>
      <c r="L1104" s="161" t="str">
        <f>$B$103&amp;"/м.куб."</f>
        <v>руб/м.куб.</v>
      </c>
      <c r="M1104" s="62">
        <f>K1104*I1104</f>
        <v>6830.3589297538447</v>
      </c>
      <c r="N1104" s="294" t="str">
        <f t="shared" ref="N1104:N1110" si="8">$B$103</f>
        <v>руб</v>
      </c>
      <c r="O1104" s="1019"/>
    </row>
    <row r="1105" spans="1:15" ht="11" customHeight="1">
      <c r="A1105" s="1027" t="str">
        <f>HYPERLINK("[Proekt-kalkulyator dlya 3 chastotyi kristallicheskogo kupola.xlsx]K505","наполнение")</f>
        <v>наполнение</v>
      </c>
      <c r="B1105" s="627" t="str">
        <f t="shared" ref="B1105:B1113" si="9">B988</f>
        <v>Доска шпунтованная х35мм</v>
      </c>
      <c r="C1105" s="627"/>
      <c r="D1105" s="627"/>
      <c r="E1105" s="627"/>
      <c r="F1105" s="628"/>
      <c r="G1105" s="62">
        <f>G988*K1101%</f>
        <v>39.596283650746926</v>
      </c>
      <c r="H1105" s="52" t="s">
        <v>840</v>
      </c>
      <c r="I1105" s="48">
        <f>G1105*0.035</f>
        <v>1.3858699277761426</v>
      </c>
      <c r="J1105" s="52" t="s">
        <v>72</v>
      </c>
      <c r="K1105" s="447">
        <f t="shared" ref="K1105:K1113" si="10">K988</f>
        <v>450</v>
      </c>
      <c r="L1105" s="161" t="str">
        <f>$B$103&amp;"/м.кв."</f>
        <v>руб/м.кв.</v>
      </c>
      <c r="M1105" s="62">
        <f>K1105*G1105</f>
        <v>17818.327642836117</v>
      </c>
      <c r="N1105" s="294" t="str">
        <f t="shared" si="8"/>
        <v>руб</v>
      </c>
      <c r="O1105" s="1019"/>
    </row>
    <row r="1106" spans="1:15" ht="11" customHeight="1">
      <c r="A1106" s="1028"/>
      <c r="B1106" s="627" t="str">
        <f t="shared" si="9"/>
        <v xml:space="preserve">Пароизоляционная плёнка </v>
      </c>
      <c r="C1106" s="627"/>
      <c r="D1106" s="627"/>
      <c r="E1106" s="627"/>
      <c r="F1106" s="628"/>
      <c r="G1106" s="62">
        <f>G989*K1101%</f>
        <v>43.555912015821619</v>
      </c>
      <c r="H1106" s="52" t="s">
        <v>840</v>
      </c>
      <c r="I1106" s="62">
        <f>G1106</f>
        <v>43.555912015821619</v>
      </c>
      <c r="J1106" s="52" t="s">
        <v>848</v>
      </c>
      <c r="K1106" s="447">
        <f t="shared" si="10"/>
        <v>15</v>
      </c>
      <c r="L1106" s="161" t="str">
        <f>$B$103&amp;"/м/п."</f>
        <v>руб/м/п.</v>
      </c>
      <c r="M1106" s="62">
        <f>K1106*I1106</f>
        <v>653.3386802373243</v>
      </c>
      <c r="N1106" s="294" t="str">
        <f t="shared" si="8"/>
        <v>руб</v>
      </c>
      <c r="O1106" s="1019"/>
    </row>
    <row r="1107" spans="1:15" ht="11" customHeight="1">
      <c r="A1107" s="1029" t="str">
        <f>HYPERLINK("[Proekt-kalkulyator dlya 3 chastotyi kristallicheskogo kupola.xlsx]K745","ОБОЛОЧКА")</f>
        <v>ОБОЛОЧКА</v>
      </c>
      <c r="B1107" s="627" t="str">
        <f t="shared" si="9"/>
        <v>Ветрозащитная мембрана</v>
      </c>
      <c r="C1107" s="627"/>
      <c r="D1107" s="627"/>
      <c r="E1107" s="627"/>
      <c r="F1107" s="628"/>
      <c r="G1107" s="62">
        <f>G1106</f>
        <v>43.555912015821619</v>
      </c>
      <c r="H1107" s="52" t="s">
        <v>819</v>
      </c>
      <c r="I1107" s="62">
        <f>G1107</f>
        <v>43.555912015821619</v>
      </c>
      <c r="J1107" s="52" t="s">
        <v>848</v>
      </c>
      <c r="K1107" s="447">
        <f t="shared" si="10"/>
        <v>15</v>
      </c>
      <c r="L1107" s="161" t="str">
        <f>$B$103&amp;"/м/п."</f>
        <v>руб/м/п.</v>
      </c>
      <c r="M1107" s="62">
        <f>K1107*I1107</f>
        <v>653.3386802373243</v>
      </c>
      <c r="N1107" s="294" t="str">
        <f t="shared" si="8"/>
        <v>руб</v>
      </c>
      <c r="O1107" s="1019"/>
    </row>
    <row r="1108" spans="1:15" ht="11" customHeight="1">
      <c r="A1108" s="1030"/>
      <c r="B1108" s="627" t="str">
        <f t="shared" si="9"/>
        <v>Шуруп универсальный для доски шпунтованн. 70х4мм</v>
      </c>
      <c r="C1108" s="627"/>
      <c r="D1108" s="627"/>
      <c r="E1108" s="627"/>
      <c r="F1108" s="628"/>
      <c r="G1108" s="62">
        <f>G991*K1101%</f>
        <v>989.90709126867307</v>
      </c>
      <c r="H1108" s="52" t="s">
        <v>65</v>
      </c>
      <c r="I1108" s="48">
        <f>G1108*0.00364</f>
        <v>3.60326181221797</v>
      </c>
      <c r="J1108" s="52" t="s">
        <v>67</v>
      </c>
      <c r="K1108" s="447">
        <f t="shared" si="10"/>
        <v>150</v>
      </c>
      <c r="L1108" s="161" t="str">
        <f>$B$103&amp;"/кг."</f>
        <v>руб/кг.</v>
      </c>
      <c r="M1108" s="62">
        <f>K1108*I1108</f>
        <v>540.48927183269552</v>
      </c>
      <c r="N1108" s="294" t="str">
        <f t="shared" si="8"/>
        <v>руб</v>
      </c>
      <c r="O1108" s="1019"/>
    </row>
    <row r="1109" spans="1:15" ht="11" customHeight="1">
      <c r="A1109" s="1031" t="str">
        <f>HYPERLINK("[Proekt-kalkulyator dlya 3 chastotyi kristallicheskogo kupola.xlsx]J942","ФуНДАМЕНТ")</f>
        <v>ФуНДАМЕНТ</v>
      </c>
      <c r="B1109" s="627" t="str">
        <f t="shared" si="9"/>
        <v>Шуруп универсальный оцинк. для конт.рейки 70х4мм</v>
      </c>
      <c r="C1109" s="627"/>
      <c r="D1109" s="627"/>
      <c r="E1109" s="627"/>
      <c r="F1109" s="628"/>
      <c r="G1109" s="62">
        <f>G992*K1101%</f>
        <v>1187.8885095224077</v>
      </c>
      <c r="H1109" s="52" t="s">
        <v>65</v>
      </c>
      <c r="I1109" s="48">
        <f>G1109*0.00364</f>
        <v>4.3239141746615646</v>
      </c>
      <c r="J1109" s="52" t="s">
        <v>67</v>
      </c>
      <c r="K1109" s="447">
        <f t="shared" si="10"/>
        <v>150</v>
      </c>
      <c r="L1109" s="161" t="str">
        <f>$B$103&amp;"/кг"</f>
        <v>руб/кг</v>
      </c>
      <c r="M1109" s="62">
        <f>I1109*K1109</f>
        <v>648.58712619923472</v>
      </c>
      <c r="N1109" s="294" t="str">
        <f t="shared" si="8"/>
        <v>руб</v>
      </c>
      <c r="O1109" s="1019"/>
    </row>
    <row r="1110" spans="1:15" ht="11" customHeight="1">
      <c r="A1110" s="1032"/>
      <c r="B1110" s="627" t="str">
        <f t="shared" si="9"/>
        <v>Контррейка 25х50мм</v>
      </c>
      <c r="C1110" s="627"/>
      <c r="D1110" s="627"/>
      <c r="E1110" s="627"/>
      <c r="F1110" s="628"/>
      <c r="G1110" s="62">
        <f>G993*K1101%</f>
        <v>118.78885095224078</v>
      </c>
      <c r="H1110" s="52" t="s">
        <v>848</v>
      </c>
      <c r="I1110" s="48">
        <f>G1110*0.025*($G$971/1000)</f>
        <v>0.14848606369030098</v>
      </c>
      <c r="J1110" s="52" t="s">
        <v>72</v>
      </c>
      <c r="K1110" s="447">
        <f t="shared" si="10"/>
        <v>8000</v>
      </c>
      <c r="L1110" s="161" t="str">
        <f>$B$103&amp;"/за м.куб."</f>
        <v>руб/за м.куб.</v>
      </c>
      <c r="M1110" s="62">
        <f>K1110*I1110</f>
        <v>1187.888509522408</v>
      </c>
      <c r="N1110" s="294" t="str">
        <f t="shared" si="8"/>
        <v>руб</v>
      </c>
      <c r="O1110" s="1019"/>
    </row>
    <row r="1111" spans="1:15" ht="11" customHeight="1">
      <c r="A1111" s="1029" t="str">
        <f>HYPERLINK("[Proekt-kalkulyator dlya 3 chastotyi kristallicheskogo kupola.xlsx]K995","перекрытие п.")</f>
        <v>перекрытие п.</v>
      </c>
      <c r="B1111" s="627" t="str">
        <f t="shared" si="9"/>
        <v>Утеплитель (вермикулит )175мм</v>
      </c>
      <c r="C1111" s="627"/>
      <c r="D1111" s="627"/>
      <c r="E1111" s="627"/>
      <c r="F1111" s="628"/>
      <c r="G1111" s="62">
        <f>G994*K1101%</f>
        <v>33.656841103134887</v>
      </c>
      <c r="H1111" s="52" t="s">
        <v>840</v>
      </c>
      <c r="I1111" s="62">
        <f>((E971-25)/1000)*G1111</f>
        <v>5.8899471930486049</v>
      </c>
      <c r="J1111" s="52" t="s">
        <v>72</v>
      </c>
      <c r="K1111" s="447">
        <f t="shared" si="10"/>
        <v>4000</v>
      </c>
      <c r="L1111" s="161" t="str">
        <f>$B$103&amp;"/за м.куб."</f>
        <v>руб/за м.куб.</v>
      </c>
      <c r="M1111" s="50">
        <f>I1111*K1111</f>
        <v>23559.788772194421</v>
      </c>
      <c r="N1111" s="294" t="str">
        <f>$B$103</f>
        <v>руб</v>
      </c>
      <c r="O1111" s="1019"/>
    </row>
    <row r="1112" spans="1:15" ht="11" customHeight="1">
      <c r="A1112" s="1030"/>
      <c r="B1112" s="627" t="str">
        <f t="shared" si="9"/>
        <v>Гвозди для каркаса перекрытия 100х4мм</v>
      </c>
      <c r="C1112" s="627"/>
      <c r="D1112" s="627"/>
      <c r="E1112" s="627"/>
      <c r="F1112" s="628"/>
      <c r="G1112" s="62">
        <f>G995*K1101%</f>
        <v>395.96283650746921</v>
      </c>
      <c r="H1112" s="127" t="s">
        <v>65</v>
      </c>
      <c r="I1112" s="160">
        <f>G1112*0.0095</f>
        <v>3.7616469468209575</v>
      </c>
      <c r="J1112" s="52" t="s">
        <v>91</v>
      </c>
      <c r="K1112" s="447">
        <f t="shared" si="10"/>
        <v>150</v>
      </c>
      <c r="L1112" s="161" t="str">
        <f>$B$103&amp;"/за кг."</f>
        <v>руб/за кг.</v>
      </c>
      <c r="M1112" s="131">
        <f>K1112*I1112</f>
        <v>564.24704202314365</v>
      </c>
      <c r="N1112" s="294" t="str">
        <f>$B$103</f>
        <v>руб</v>
      </c>
      <c r="O1112" s="1019"/>
    </row>
    <row r="1113" spans="1:15" ht="11" customHeight="1">
      <c r="A1113" s="1029" t="str">
        <f>HYPERLINK("[Proekt-kalkulyator dlya 3 chastotyi kristallicheskogo kupola.xlsx]K1114","перекрытие в.")</f>
        <v>перекрытие в.</v>
      </c>
      <c r="B1113" s="627" t="str">
        <f t="shared" si="9"/>
        <v>Доска 200 х 50 мм</v>
      </c>
      <c r="C1113" s="627"/>
      <c r="D1113" s="627"/>
      <c r="E1113" s="627"/>
      <c r="F1113" s="628"/>
      <c r="G1113" s="62">
        <f>G996*K1101%</f>
        <v>118.78885095224078</v>
      </c>
      <c r="H1113" s="52" t="s">
        <v>848</v>
      </c>
      <c r="I1113" s="48">
        <f>G1113*($E$971/1000)*($G$971/1000)</f>
        <v>1.1878885095224079</v>
      </c>
      <c r="J1113" s="442" t="s">
        <v>72</v>
      </c>
      <c r="K1113" s="447">
        <f t="shared" si="10"/>
        <v>8000</v>
      </c>
      <c r="L1113" s="161" t="str">
        <f>$B$103&amp;"/за м.куб."</f>
        <v>руб/за м.куб.</v>
      </c>
      <c r="M1113" s="131">
        <f>K1113*I1113</f>
        <v>9503.1080761792637</v>
      </c>
      <c r="N1113" s="294" t="str">
        <f>$B$103</f>
        <v>руб</v>
      </c>
      <c r="O1113" s="1019"/>
    </row>
    <row r="1114" spans="1:15" ht="11" customHeight="1">
      <c r="A1114" s="1030"/>
      <c r="B1114" s="834" t="str">
        <f>HYPERLINK("http://greenhouse.su/","Плита СМЛ х10мм")</f>
        <v>Плита СМЛ х10мм</v>
      </c>
      <c r="C1114" s="834"/>
      <c r="D1114" s="834"/>
      <c r="E1114" s="834"/>
      <c r="F1114" s="835"/>
      <c r="G1114" s="62">
        <f>G1105</f>
        <v>39.596283650746926</v>
      </c>
      <c r="H1114" s="52" t="s">
        <v>819</v>
      </c>
      <c r="I1114" s="48">
        <f>G1114*0.01</f>
        <v>0.39596283650746927</v>
      </c>
      <c r="J1114" s="442" t="s">
        <v>72</v>
      </c>
      <c r="K1114" s="129">
        <v>220</v>
      </c>
      <c r="L1114" s="161" t="str">
        <f>$B$103&amp;"/за м/кв."</f>
        <v>руб/за м/кв.</v>
      </c>
      <c r="M1114" s="131">
        <f>K1114*G1114</f>
        <v>8711.1824031643246</v>
      </c>
      <c r="N1114" s="294" t="str">
        <f>$B$103</f>
        <v>руб</v>
      </c>
      <c r="O1114" s="1019"/>
    </row>
    <row r="1115" spans="1:15" ht="11" customHeight="1">
      <c r="A1115" s="1034" t="str">
        <f>HYPERLINK("[Proekt-kalkulyator dlya 3 chastotyi kristallicheskogo kupola.xlsx]$I$10","В начало")</f>
        <v>В начало</v>
      </c>
      <c r="B1115" s="627" t="s">
        <v>2923</v>
      </c>
      <c r="C1115" s="627"/>
      <c r="D1115" s="627"/>
      <c r="E1115" s="627"/>
      <c r="F1115" s="628"/>
      <c r="G1115" s="62">
        <f>G1114*30</f>
        <v>1187.8885095224077</v>
      </c>
      <c r="H1115" s="52" t="s">
        <v>65</v>
      </c>
      <c r="I1115" s="48">
        <f>G1115*0.00167</f>
        <v>1.983773810902421</v>
      </c>
      <c r="J1115" s="52" t="s">
        <v>67</v>
      </c>
      <c r="K1115" s="64">
        <v>200</v>
      </c>
      <c r="L1115" s="161" t="str">
        <f>$B$103&amp;"/кг"</f>
        <v>руб/кг</v>
      </c>
      <c r="M1115" s="62">
        <f>I1115*K1115</f>
        <v>396.75476218048419</v>
      </c>
      <c r="N1115" s="294" t="str">
        <f t="shared" ref="N1115" si="11">$B$103</f>
        <v>руб</v>
      </c>
      <c r="O1115" s="1019"/>
    </row>
    <row r="1116" spans="1:15" ht="11" customHeight="1">
      <c r="A1116" s="1034"/>
      <c r="B1116" s="153"/>
      <c r="E1116" s="153"/>
      <c r="F1116" s="153"/>
      <c r="G1116" s="153"/>
      <c r="H1116" s="153"/>
      <c r="I1116" s="153"/>
      <c r="J1116" s="153"/>
      <c r="K1116" s="153"/>
      <c r="L1116" s="153"/>
      <c r="M1116" s="153"/>
      <c r="N1116" s="153"/>
      <c r="O1116" s="1019"/>
    </row>
    <row r="1117" spans="1:15" ht="11" customHeight="1">
      <c r="A1117" s="1036"/>
      <c r="B1117" s="832" t="s">
        <v>835</v>
      </c>
      <c r="C1117" s="832"/>
      <c r="D1117" s="832"/>
      <c r="E1117" s="832"/>
      <c r="F1117" s="832"/>
      <c r="G1117" s="150"/>
      <c r="H1117" s="104"/>
      <c r="I1117" s="150"/>
      <c r="J1117" s="104"/>
      <c r="K1117" s="5"/>
      <c r="L1117" s="5"/>
      <c r="M1117" s="293">
        <f>SUM(M1104:M1115)</f>
        <v>71067.409896360579</v>
      </c>
      <c r="N1117" s="294" t="str">
        <f>$B$103</f>
        <v>руб</v>
      </c>
      <c r="O1117" s="1019"/>
    </row>
    <row r="1118" spans="1:15" ht="11" customHeight="1">
      <c r="A1118" s="1036"/>
      <c r="B1118" s="321"/>
      <c r="C1118" s="321"/>
      <c r="D1118" s="321"/>
      <c r="E1118" s="321"/>
      <c r="F1118" s="705" t="s">
        <v>2926</v>
      </c>
      <c r="G1118" s="705"/>
      <c r="H1118" s="705"/>
      <c r="I1118" s="705"/>
      <c r="J1118" s="705"/>
      <c r="K1118" s="705"/>
      <c r="L1118" s="321"/>
      <c r="M1118" s="321"/>
      <c r="N1118" s="321"/>
      <c r="O1118" s="1019"/>
    </row>
    <row r="1119" spans="1:15" ht="11" customHeight="1">
      <c r="A1119" s="1036"/>
      <c r="B1119" s="321"/>
      <c r="C1119" s="321"/>
      <c r="D1119" s="321"/>
      <c r="E1119" s="321"/>
      <c r="F1119" s="705"/>
      <c r="G1119" s="705"/>
      <c r="H1119" s="705"/>
      <c r="I1119" s="705"/>
      <c r="J1119" s="705"/>
      <c r="K1119" s="705"/>
      <c r="L1119" s="321"/>
      <c r="M1119" s="321"/>
      <c r="N1119" s="321"/>
      <c r="O1119" s="1019"/>
    </row>
    <row r="1120" spans="1:15" ht="11" customHeight="1">
      <c r="A1120" s="1036"/>
      <c r="B1120" s="321"/>
      <c r="C1120" s="321"/>
      <c r="D1120" s="321"/>
      <c r="E1120" s="321"/>
      <c r="F1120" s="321"/>
      <c r="G1120" s="321"/>
      <c r="H1120" s="321"/>
      <c r="I1120" s="321"/>
      <c r="J1120" s="321"/>
      <c r="K1120" s="321"/>
      <c r="L1120" s="321"/>
      <c r="M1120" s="321"/>
      <c r="N1120" s="321"/>
      <c r="O1120" s="1019"/>
    </row>
    <row r="1121" spans="1:15" ht="11" customHeight="1">
      <c r="A1121" s="1036"/>
      <c r="B1121" s="321"/>
      <c r="C1121" s="321"/>
      <c r="D1121" s="321"/>
      <c r="E1121" s="321"/>
      <c r="F1121" s="321"/>
      <c r="G1121" s="321"/>
      <c r="H1121" s="321"/>
      <c r="I1121" s="321"/>
      <c r="J1121" s="321"/>
      <c r="K1121" s="321"/>
      <c r="L1121" s="321"/>
      <c r="M1121" s="321"/>
      <c r="N1121" s="321"/>
      <c r="O1121" s="1019"/>
    </row>
    <row r="1122" spans="1:15" ht="11" customHeight="1">
      <c r="A1122" s="1036"/>
      <c r="B1122" s="759" t="s">
        <v>2924</v>
      </c>
      <c r="C1122" s="759"/>
      <c r="D1122" s="759"/>
      <c r="E1122" s="759"/>
      <c r="F1122" s="759"/>
      <c r="G1122" s="837">
        <f>G988</f>
        <v>65.99380608457821</v>
      </c>
      <c r="H1122" s="836" t="s">
        <v>840</v>
      </c>
      <c r="I1122" s="759" t="s">
        <v>2928</v>
      </c>
      <c r="J1122" s="759"/>
      <c r="K1122" s="759"/>
      <c r="L1122" s="852">
        <f>L478+M507+M746+L945+M998+M1117</f>
        <v>697861.18599482195</v>
      </c>
      <c r="M1122" s="852"/>
      <c r="N1122" s="836" t="str">
        <f>$B$103</f>
        <v>руб</v>
      </c>
      <c r="O1122" s="1019"/>
    </row>
    <row r="1123" spans="1:15" ht="11" customHeight="1">
      <c r="A1123" s="1036"/>
      <c r="B1123" s="759"/>
      <c r="C1123" s="759"/>
      <c r="D1123" s="759"/>
      <c r="E1123" s="759"/>
      <c r="F1123" s="759"/>
      <c r="G1123" s="837"/>
      <c r="H1123" s="836"/>
      <c r="I1123" s="759"/>
      <c r="J1123" s="759"/>
      <c r="K1123" s="759"/>
      <c r="L1123" s="852"/>
      <c r="M1123" s="852"/>
      <c r="N1123" s="836"/>
      <c r="O1123" s="1019"/>
    </row>
    <row r="1124" spans="1:15" ht="11" customHeight="1">
      <c r="A1124" s="1036"/>
      <c r="B1124" s="759" t="s">
        <v>2925</v>
      </c>
      <c r="C1124" s="759"/>
      <c r="D1124" s="759"/>
      <c r="E1124" s="759"/>
      <c r="F1124" s="759"/>
      <c r="G1124" s="837">
        <f>G1105</f>
        <v>39.596283650746926</v>
      </c>
      <c r="H1124" s="836" t="s">
        <v>840</v>
      </c>
      <c r="I1124" s="759" t="s">
        <v>2928</v>
      </c>
      <c r="J1124" s="759"/>
      <c r="K1124" s="759"/>
      <c r="L1124" s="321"/>
      <c r="M1124" s="852">
        <f>L1122/J103</f>
        <v>10513.520183719213</v>
      </c>
      <c r="N1124" s="851" t="s">
        <v>2929</v>
      </c>
      <c r="O1124" s="1019"/>
    </row>
    <row r="1125" spans="1:15" ht="11" customHeight="1">
      <c r="A1125" s="1036"/>
      <c r="B1125" s="759"/>
      <c r="C1125" s="759"/>
      <c r="D1125" s="759"/>
      <c r="E1125" s="759"/>
      <c r="F1125" s="759"/>
      <c r="G1125" s="837"/>
      <c r="H1125" s="836"/>
      <c r="I1125" s="759"/>
      <c r="J1125" s="759"/>
      <c r="K1125" s="759"/>
      <c r="L1125" s="321"/>
      <c r="M1125" s="852"/>
      <c r="N1125" s="851"/>
      <c r="O1125" s="1019"/>
    </row>
    <row r="1126" spans="1:15" ht="11" customHeight="1">
      <c r="A1126" s="1036"/>
      <c r="B1126" s="759" t="s">
        <v>2927</v>
      </c>
      <c r="C1126" s="759"/>
      <c r="D1126" s="759"/>
      <c r="E1126" s="759"/>
      <c r="F1126" s="759"/>
      <c r="G1126" s="837">
        <f>(2.9548*((M10+(((E40+F59)*1.0150636613))/1000)*(M10+(((E40+F59)*1.0150636613))/1000)))</f>
        <v>75.832414542365001</v>
      </c>
      <c r="H1126" s="836" t="s">
        <v>840</v>
      </c>
      <c r="I1126" s="759" t="s">
        <v>2930</v>
      </c>
      <c r="J1126" s="759"/>
      <c r="K1126" s="759"/>
      <c r="L1126" s="838">
        <f>J464+J465+J466+J467+(E471*500)+(E474*5)+(I500*500)+(I501*500)+I502+I503+(I506*20)+(I735*600)+(I736*600)+I738+I739+I740+I741+I742+I743+(I744*600)+F936+F937+F938+F939+F940+(I987*500)+(I988*500)+I991+I992+(I993*500)+(I994*90)+I995+(I996*500)+(I1104*500)+(I1105*500)+I1108+I1109+(I1110*500)+(I1111*90)+I1112+(I1113*500)+(I1114*1200)+I1115</f>
        <v>20402.364919051259</v>
      </c>
      <c r="M1126" s="838"/>
      <c r="N1126" s="836" t="s">
        <v>91</v>
      </c>
      <c r="O1126" s="1019"/>
    </row>
    <row r="1127" spans="1:15" ht="11" customHeight="1">
      <c r="A1127" s="1036"/>
      <c r="B1127" s="759"/>
      <c r="C1127" s="759"/>
      <c r="D1127" s="759"/>
      <c r="E1127" s="759"/>
      <c r="F1127" s="759"/>
      <c r="G1127" s="837"/>
      <c r="H1127" s="836"/>
      <c r="I1127" s="759"/>
      <c r="J1127" s="759"/>
      <c r="K1127" s="759"/>
      <c r="L1127" s="838"/>
      <c r="M1127" s="838"/>
      <c r="N1127" s="836"/>
      <c r="O1127" s="1019"/>
    </row>
    <row r="1128" spans="1:15" ht="11" customHeight="1">
      <c r="A1128" s="1036"/>
      <c r="B1128" s="759" t="s">
        <v>2972</v>
      </c>
      <c r="C1128" s="759"/>
      <c r="D1128" s="759"/>
      <c r="E1128" s="759"/>
      <c r="F1128" s="759"/>
      <c r="G1128" s="837">
        <f>M1124/L1128</f>
        <v>99.569194515059849</v>
      </c>
      <c r="H1128" s="851" t="s">
        <v>2929</v>
      </c>
      <c r="I1128" s="759" t="s">
        <v>2973</v>
      </c>
      <c r="J1128" s="759"/>
      <c r="K1128" s="759"/>
      <c r="L1128" s="838">
        <f>G1122+G1124</f>
        <v>105.59008973532514</v>
      </c>
      <c r="M1128" s="838"/>
      <c r="N1128" s="836" t="s">
        <v>840</v>
      </c>
      <c r="O1128" s="1019"/>
    </row>
    <row r="1129" spans="1:15" ht="11" customHeight="1">
      <c r="A1129" s="1036"/>
      <c r="B1129" s="759"/>
      <c r="C1129" s="759"/>
      <c r="D1129" s="759"/>
      <c r="E1129" s="759"/>
      <c r="F1129" s="759"/>
      <c r="G1129" s="837"/>
      <c r="H1129" s="851"/>
      <c r="I1129" s="759"/>
      <c r="J1129" s="759"/>
      <c r="K1129" s="759"/>
      <c r="L1129" s="838"/>
      <c r="M1129" s="838"/>
      <c r="N1129" s="836"/>
      <c r="O1129" s="1019"/>
    </row>
    <row r="1130" spans="1:15" ht="11" customHeight="1">
      <c r="A1130" s="1036"/>
      <c r="B1130" s="321"/>
      <c r="C1130" s="321"/>
      <c r="D1130" s="321"/>
      <c r="E1130" s="321"/>
      <c r="F1130" s="321"/>
      <c r="G1130" s="321"/>
      <c r="H1130" s="321"/>
      <c r="I1130" s="321"/>
      <c r="J1130" s="321"/>
      <c r="K1130" s="321"/>
      <c r="L1130" s="321"/>
      <c r="M1130" s="321"/>
      <c r="N1130" s="321"/>
      <c r="O1130" s="1019"/>
    </row>
    <row r="1131" spans="1:15" ht="11" customHeight="1">
      <c r="A1131" s="1036"/>
      <c r="B1131" s="321"/>
      <c r="C1131" s="321"/>
      <c r="D1131" s="321"/>
      <c r="E1131" s="321"/>
      <c r="F1131" s="321"/>
      <c r="G1131" s="321"/>
      <c r="H1131" s="321"/>
      <c r="I1131" s="321"/>
      <c r="J1131" s="321"/>
      <c r="K1131" s="321"/>
      <c r="L1131" s="321"/>
      <c r="M1131" s="321"/>
      <c r="N1131" s="321"/>
      <c r="O1131" s="1019"/>
    </row>
    <row r="1132" spans="1:15" ht="11" customHeight="1">
      <c r="A1132" s="1036"/>
      <c r="B1132" s="321"/>
      <c r="C1132" s="321"/>
      <c r="D1132" s="321"/>
      <c r="E1132" s="321"/>
      <c r="F1132" s="321"/>
      <c r="G1132" s="321"/>
      <c r="H1132" s="321"/>
      <c r="I1132" s="321"/>
      <c r="J1132" s="321"/>
      <c r="K1132" s="321"/>
      <c r="L1132" s="321"/>
      <c r="M1132" s="321"/>
      <c r="N1132" s="321"/>
      <c r="O1132" s="1019"/>
    </row>
    <row r="1133" spans="1:15" ht="11" customHeight="1">
      <c r="A1133" s="1036"/>
      <c r="B1133" s="321"/>
      <c r="C1133" s="321"/>
      <c r="D1133" s="321"/>
      <c r="E1133" s="321"/>
      <c r="F1133" s="455"/>
      <c r="G1133" s="321"/>
      <c r="H1133" s="321"/>
      <c r="I1133" s="321"/>
      <c r="J1133" s="321"/>
      <c r="K1133" s="321"/>
      <c r="L1133" s="321"/>
      <c r="M1133" s="321"/>
      <c r="N1133" s="321"/>
      <c r="O1133" s="1019"/>
    </row>
    <row r="1134" spans="1:15" ht="11" customHeight="1">
      <c r="A1134" s="1036"/>
      <c r="B1134" s="321"/>
      <c r="C1134" s="321"/>
      <c r="D1134" s="321"/>
      <c r="E1134" s="321"/>
      <c r="F1134" s="705" t="s">
        <v>2932</v>
      </c>
      <c r="G1134" s="705"/>
      <c r="H1134" s="705"/>
      <c r="I1134" s="705"/>
      <c r="J1134" s="705"/>
      <c r="K1134" s="705"/>
      <c r="L1134" s="321"/>
      <c r="M1134" s="321"/>
      <c r="N1134" s="321"/>
      <c r="O1134" s="1019"/>
    </row>
    <row r="1135" spans="1:15" ht="11" customHeight="1">
      <c r="A1135" s="1036"/>
      <c r="B1135" s="321"/>
      <c r="C1135" s="321"/>
      <c r="D1135" s="321"/>
      <c r="E1135" s="321"/>
      <c r="F1135" s="705"/>
      <c r="G1135" s="705"/>
      <c r="H1135" s="705"/>
      <c r="I1135" s="705"/>
      <c r="J1135" s="705"/>
      <c r="K1135" s="705"/>
      <c r="L1135" s="321"/>
      <c r="M1135" s="321"/>
      <c r="N1135" s="321"/>
      <c r="O1135" s="1019"/>
    </row>
    <row r="1136" spans="1:15" ht="11" customHeight="1">
      <c r="A1136" s="5"/>
      <c r="B1136" s="426"/>
      <c r="C1136" s="153"/>
      <c r="D1136" s="153"/>
      <c r="E1136" s="153"/>
      <c r="F1136" s="625" t="str">
        <f>HYPERLINK("https://vk.com/82kotiara?z=photo31746648_413094029%2Falbum31746648_231672664%2Frev"," СКАЧАТЬ ОБНОВЛЕНИЯ")</f>
        <v xml:space="preserve"> СКАЧАТЬ ОБНОВЛЕНИЯ</v>
      </c>
      <c r="G1136" s="626"/>
      <c r="H1136" s="626"/>
      <c r="I1136" s="626"/>
      <c r="J1136" s="626"/>
      <c r="K1136" s="626"/>
      <c r="L1136" s="153"/>
      <c r="M1136" s="153"/>
      <c r="N1136" s="153"/>
    </row>
    <row r="1137" spans="1:14" ht="11" customHeight="1">
      <c r="A1137" s="5"/>
      <c r="B1137" s="426"/>
      <c r="C1137" s="153"/>
      <c r="D1137" s="153"/>
      <c r="E1137" s="153"/>
      <c r="F1137" s="626"/>
      <c r="G1137" s="626"/>
      <c r="H1137" s="626"/>
      <c r="I1137" s="626"/>
      <c r="J1137" s="626"/>
      <c r="K1137" s="626"/>
      <c r="L1137" s="153"/>
      <c r="M1137" s="153"/>
      <c r="N1137" s="153"/>
    </row>
    <row r="1138" spans="1:14" ht="11" customHeight="1">
      <c r="A1138" s="5"/>
      <c r="B1138" s="426"/>
      <c r="C1138" s="153"/>
      <c r="D1138" s="153"/>
      <c r="E1138" s="153"/>
      <c r="F1138" s="153"/>
      <c r="G1138" s="153"/>
      <c r="H1138" s="153"/>
      <c r="I1138" s="153"/>
      <c r="J1138" s="153"/>
      <c r="K1138" s="153"/>
      <c r="L1138" s="153"/>
      <c r="M1138" s="153"/>
      <c r="N1138" s="153"/>
    </row>
    <row r="1139" spans="1:14" ht="11" customHeight="1">
      <c r="A1139" s="5"/>
      <c r="B1139" s="426"/>
      <c r="C1139" s="153"/>
      <c r="D1139" s="153"/>
      <c r="E1139" s="153"/>
      <c r="F1139" s="153"/>
      <c r="G1139" s="153"/>
      <c r="H1139" s="153"/>
      <c r="I1139" s="153"/>
      <c r="J1139" s="153"/>
      <c r="K1139" s="153"/>
      <c r="L1139" s="153"/>
      <c r="M1139" s="153"/>
      <c r="N1139" s="153"/>
    </row>
    <row r="1140" spans="1:14" ht="11" customHeight="1">
      <c r="A1140" s="5"/>
      <c r="B1140" s="426"/>
      <c r="C1140" s="153"/>
      <c r="D1140" s="153"/>
      <c r="E1140" s="153"/>
      <c r="F1140" s="153"/>
      <c r="G1140" s="153"/>
      <c r="H1140" s="153"/>
      <c r="I1140" s="153"/>
      <c r="J1140" s="153"/>
      <c r="K1140" s="153"/>
      <c r="L1140" s="153"/>
      <c r="M1140" s="153"/>
      <c r="N1140" s="153"/>
    </row>
    <row r="1141" spans="1:14" ht="11" customHeight="1">
      <c r="A1141" s="5"/>
      <c r="B1141" s="426"/>
      <c r="C1141" s="153"/>
      <c r="D1141" s="153"/>
      <c r="E1141" s="153"/>
      <c r="F1141" s="153"/>
      <c r="G1141" s="153"/>
      <c r="H1141" s="153"/>
      <c r="I1141" s="153"/>
      <c r="J1141" s="153"/>
      <c r="K1141" s="153"/>
      <c r="L1141" s="153"/>
      <c r="M1141" s="153"/>
      <c r="N1141" s="153"/>
    </row>
    <row r="1142" spans="1:14" ht="11" customHeight="1">
      <c r="A1142" s="5"/>
      <c r="B1142" s="426"/>
      <c r="C1142" s="153"/>
      <c r="D1142" s="153"/>
      <c r="E1142" s="153"/>
      <c r="F1142" s="153"/>
      <c r="G1142" s="153"/>
      <c r="H1142" s="153"/>
      <c r="I1142" s="153"/>
      <c r="J1142" s="153"/>
      <c r="K1142" s="153"/>
      <c r="L1142" s="153"/>
      <c r="M1142" s="153"/>
      <c r="N1142" s="153"/>
    </row>
    <row r="1143" spans="1:14" ht="11" customHeight="1">
      <c r="A1143" s="5"/>
      <c r="B1143" s="426"/>
      <c r="C1143" s="153"/>
      <c r="D1143" s="153"/>
      <c r="E1143" s="153"/>
      <c r="F1143" s="153"/>
      <c r="G1143" s="153"/>
      <c r="H1143" s="153"/>
      <c r="I1143" s="153"/>
      <c r="J1143" s="153"/>
      <c r="K1143" s="153"/>
      <c r="L1143" s="153"/>
      <c r="M1143" s="153"/>
      <c r="N1143" s="153"/>
    </row>
    <row r="1144" spans="1:14" ht="11" customHeight="1">
      <c r="A1144" s="5"/>
      <c r="B1144" s="426"/>
      <c r="C1144" s="153"/>
      <c r="D1144" s="153"/>
      <c r="E1144" s="153"/>
      <c r="F1144" s="153"/>
      <c r="G1144" s="153"/>
      <c r="H1144" s="153"/>
      <c r="I1144" s="153"/>
      <c r="J1144" s="153"/>
      <c r="K1144" s="153"/>
      <c r="L1144" s="153"/>
      <c r="M1144" s="153"/>
      <c r="N1144" s="153"/>
    </row>
    <row r="1145" spans="1:14" ht="11" customHeight="1">
      <c r="A1145" s="5"/>
      <c r="B1145" s="426"/>
      <c r="C1145" s="153"/>
      <c r="D1145" s="153"/>
      <c r="E1145" s="153"/>
      <c r="F1145" s="153"/>
      <c r="G1145" s="153"/>
      <c r="H1145" s="153"/>
      <c r="I1145" s="153"/>
      <c r="J1145" s="153"/>
      <c r="K1145" s="153"/>
      <c r="L1145" s="153"/>
      <c r="M1145" s="153"/>
      <c r="N1145" s="153"/>
    </row>
    <row r="1146" spans="1:14" ht="11" customHeight="1">
      <c r="A1146" s="5"/>
      <c r="B1146" s="426"/>
      <c r="C1146" s="153"/>
      <c r="D1146" s="153"/>
      <c r="E1146" s="153"/>
      <c r="F1146" s="153"/>
      <c r="G1146" s="153"/>
      <c r="H1146" s="153"/>
      <c r="I1146" s="153"/>
      <c r="J1146" s="153"/>
      <c r="K1146" s="153"/>
      <c r="L1146" s="153"/>
      <c r="M1146" s="153"/>
      <c r="N1146" s="153"/>
    </row>
    <row r="1147" spans="1:14" ht="11" customHeight="1">
      <c r="A1147" s="5"/>
      <c r="B1147" s="426"/>
      <c r="C1147" s="153"/>
      <c r="D1147" s="153"/>
      <c r="E1147" s="153"/>
      <c r="F1147" s="153"/>
      <c r="G1147" s="153"/>
      <c r="H1147" s="153"/>
      <c r="I1147" s="153"/>
      <c r="J1147" s="153"/>
      <c r="K1147" s="153"/>
      <c r="L1147" s="153"/>
      <c r="M1147" s="153"/>
      <c r="N1147" s="153"/>
    </row>
    <row r="1148" spans="1:14" ht="20">
      <c r="A1148" s="5"/>
      <c r="B1148" s="426"/>
      <c r="C1148" s="153"/>
      <c r="D1148" s="153"/>
      <c r="E1148" s="153"/>
      <c r="F1148" s="153"/>
      <c r="G1148" s="153"/>
      <c r="H1148" s="153"/>
      <c r="I1148" s="153"/>
      <c r="J1148" s="153"/>
      <c r="K1148" s="153"/>
      <c r="L1148" s="153"/>
      <c r="M1148" s="153"/>
      <c r="N1148" s="153"/>
    </row>
    <row r="1149" spans="1:14" ht="20">
      <c r="A1149" s="5"/>
      <c r="B1149" s="153"/>
      <c r="C1149" s="153"/>
      <c r="D1149" s="153"/>
      <c r="E1149" s="153"/>
      <c r="F1149" s="153"/>
      <c r="G1149" s="153"/>
      <c r="H1149" s="153"/>
      <c r="I1149" s="153"/>
      <c r="J1149" s="153"/>
      <c r="K1149" s="153"/>
      <c r="L1149" s="153"/>
      <c r="M1149" s="153"/>
      <c r="N1149" s="153"/>
    </row>
    <row r="1150" spans="1:14" ht="20">
      <c r="A1150" s="5"/>
      <c r="B1150" s="153"/>
      <c r="C1150" s="153"/>
      <c r="D1150" s="153"/>
      <c r="E1150" s="153"/>
      <c r="F1150" s="153"/>
      <c r="G1150" s="153"/>
      <c r="H1150" s="153"/>
      <c r="I1150" s="153"/>
      <c r="J1150" s="153"/>
      <c r="K1150" s="153"/>
      <c r="L1150" s="153"/>
      <c r="M1150" s="153"/>
      <c r="N1150" s="153"/>
    </row>
    <row r="1151" spans="1:14" ht="20">
      <c r="A1151" s="5"/>
      <c r="B1151" s="153"/>
      <c r="C1151" s="153"/>
      <c r="D1151" s="153"/>
      <c r="E1151" s="153"/>
      <c r="F1151" s="153"/>
      <c r="G1151" s="153"/>
      <c r="H1151" s="153"/>
      <c r="I1151" s="153"/>
      <c r="J1151" s="153"/>
      <c r="K1151" s="153"/>
      <c r="L1151" s="153"/>
      <c r="M1151" s="153"/>
      <c r="N1151" s="153"/>
    </row>
    <row r="1152" spans="1:14" ht="20">
      <c r="A1152" s="5"/>
      <c r="B1152" s="153"/>
      <c r="C1152" s="153"/>
      <c r="D1152" s="153"/>
      <c r="E1152" s="153"/>
      <c r="F1152" s="153"/>
      <c r="G1152" s="153"/>
      <c r="H1152" s="153"/>
      <c r="I1152" s="153"/>
      <c r="J1152" s="153"/>
      <c r="K1152" s="153"/>
      <c r="L1152" s="153"/>
      <c r="M1152" s="153"/>
      <c r="N1152" s="153"/>
    </row>
    <row r="1153" spans="1:14" ht="20">
      <c r="A1153" s="5"/>
      <c r="B1153" s="153"/>
      <c r="C1153" s="153"/>
      <c r="D1153" s="153"/>
      <c r="E1153" s="153"/>
      <c r="F1153" s="153"/>
      <c r="G1153" s="153"/>
      <c r="H1153" s="153"/>
      <c r="I1153" s="153"/>
      <c r="J1153" s="153"/>
      <c r="K1153" s="153"/>
      <c r="L1153" s="153"/>
      <c r="M1153" s="153"/>
      <c r="N1153" s="153"/>
    </row>
    <row r="1154" spans="1:14" ht="20">
      <c r="A1154" s="5"/>
      <c r="B1154" s="153"/>
      <c r="C1154" s="153"/>
      <c r="D1154" s="153"/>
      <c r="E1154" s="153"/>
      <c r="F1154" s="153"/>
      <c r="G1154" s="153"/>
      <c r="H1154" s="153"/>
      <c r="I1154" s="153"/>
      <c r="J1154" s="153"/>
      <c r="K1154" s="153"/>
      <c r="L1154" s="153"/>
      <c r="M1154" s="153"/>
      <c r="N1154" s="153"/>
    </row>
    <row r="1155" spans="1:14" ht="20">
      <c r="A1155" s="5"/>
      <c r="B1155" s="153"/>
      <c r="C1155" s="153"/>
      <c r="D1155" s="153"/>
      <c r="E1155" s="153"/>
      <c r="F1155" s="153"/>
      <c r="G1155" s="153"/>
      <c r="H1155" s="153"/>
      <c r="I1155" s="153"/>
      <c r="J1155" s="153"/>
      <c r="K1155" s="153"/>
      <c r="L1155" s="153"/>
      <c r="M1155" s="153"/>
      <c r="N1155" s="153"/>
    </row>
    <row r="1156" spans="1:14" ht="20">
      <c r="A1156" s="5"/>
      <c r="B1156" s="153"/>
      <c r="C1156" s="153"/>
      <c r="D1156" s="153"/>
      <c r="E1156" s="153"/>
      <c r="F1156" s="153"/>
      <c r="G1156" s="153"/>
      <c r="H1156" s="153"/>
      <c r="I1156" s="153"/>
      <c r="J1156" s="153"/>
      <c r="K1156" s="153"/>
      <c r="L1156" s="153"/>
      <c r="M1156" s="153"/>
      <c r="N1156" s="153"/>
    </row>
    <row r="1157" spans="1:14" ht="20">
      <c r="A1157" s="5"/>
      <c r="B1157" s="153"/>
      <c r="C1157" s="153"/>
      <c r="D1157" s="153"/>
      <c r="E1157" s="153"/>
      <c r="F1157" s="153"/>
      <c r="G1157" s="153"/>
      <c r="H1157" s="153"/>
      <c r="I1157" s="153"/>
      <c r="J1157" s="153"/>
      <c r="K1157" s="153"/>
      <c r="L1157" s="153"/>
      <c r="M1157" s="153"/>
      <c r="N1157" s="153"/>
    </row>
    <row r="1158" spans="1:14" ht="20">
      <c r="A1158" s="5"/>
      <c r="B1158" s="153"/>
      <c r="C1158" s="153"/>
      <c r="D1158" s="153"/>
      <c r="E1158" s="153"/>
      <c r="F1158" s="153"/>
      <c r="G1158" s="153"/>
      <c r="H1158" s="153"/>
      <c r="I1158" s="153"/>
      <c r="J1158" s="153"/>
      <c r="K1158" s="153"/>
      <c r="L1158" s="153"/>
      <c r="M1158" s="153"/>
      <c r="N1158" s="153"/>
    </row>
    <row r="1159" spans="1:14" ht="20">
      <c r="A1159" s="5"/>
      <c r="B1159" s="153"/>
      <c r="C1159" s="153"/>
      <c r="D1159" s="153"/>
      <c r="E1159" s="153"/>
      <c r="F1159" s="153"/>
      <c r="G1159" s="153"/>
      <c r="H1159" s="153"/>
      <c r="I1159" s="153"/>
      <c r="J1159" s="153"/>
      <c r="K1159" s="153"/>
      <c r="L1159" s="153"/>
      <c r="M1159" s="153"/>
      <c r="N1159" s="153"/>
    </row>
    <row r="1160" spans="1:14" ht="20">
      <c r="A1160" s="5"/>
      <c r="B1160" s="153"/>
      <c r="C1160" s="153"/>
      <c r="D1160" s="153"/>
      <c r="E1160" s="153"/>
      <c r="F1160" s="153"/>
      <c r="G1160" s="153"/>
      <c r="H1160" s="153"/>
      <c r="I1160" s="153"/>
      <c r="J1160" s="153"/>
      <c r="K1160" s="153"/>
      <c r="L1160" s="153"/>
      <c r="M1160" s="153"/>
      <c r="N1160" s="153"/>
    </row>
    <row r="1161" spans="1:14" ht="20">
      <c r="A1161" s="5"/>
      <c r="B1161" s="153"/>
      <c r="C1161" s="153"/>
      <c r="D1161" s="153"/>
      <c r="E1161" s="153"/>
      <c r="F1161" s="153"/>
      <c r="G1161" s="153"/>
      <c r="H1161" s="153"/>
      <c r="I1161" s="153"/>
      <c r="J1161" s="153"/>
      <c r="K1161" s="153"/>
      <c r="L1161" s="153"/>
      <c r="M1161" s="153"/>
      <c r="N1161" s="153"/>
    </row>
    <row r="1162" spans="1:14" ht="20">
      <c r="A1162" s="5"/>
      <c r="B1162" s="153"/>
      <c r="C1162" s="153"/>
      <c r="D1162" s="153"/>
      <c r="E1162" s="153"/>
      <c r="F1162" s="153"/>
      <c r="G1162" s="153"/>
      <c r="H1162" s="153"/>
      <c r="I1162" s="153"/>
      <c r="J1162" s="153"/>
      <c r="K1162" s="153"/>
      <c r="L1162" s="153"/>
      <c r="M1162" s="153"/>
      <c r="N1162" s="153"/>
    </row>
    <row r="1163" spans="1:14" ht="20">
      <c r="A1163" s="5"/>
      <c r="B1163" s="153"/>
      <c r="C1163" s="153"/>
      <c r="D1163" s="153"/>
      <c r="E1163" s="153"/>
      <c r="F1163" s="153"/>
      <c r="G1163" s="153"/>
      <c r="H1163" s="153"/>
      <c r="I1163" s="153"/>
      <c r="J1163" s="153"/>
      <c r="K1163" s="153"/>
      <c r="L1163" s="153"/>
      <c r="M1163" s="153"/>
      <c r="N1163" s="153"/>
    </row>
    <row r="1164" spans="1:14" ht="20">
      <c r="A1164" s="5"/>
      <c r="B1164" s="153"/>
      <c r="C1164" s="153"/>
      <c r="D1164" s="153"/>
      <c r="E1164" s="153"/>
      <c r="F1164" s="153"/>
      <c r="G1164" s="153"/>
      <c r="H1164" s="153"/>
      <c r="I1164" s="153"/>
      <c r="J1164" s="153"/>
      <c r="K1164" s="153"/>
      <c r="L1164" s="153"/>
      <c r="M1164" s="153"/>
      <c r="N1164" s="153"/>
    </row>
    <row r="1165" spans="1:14" ht="20">
      <c r="A1165" s="5"/>
      <c r="B1165" s="153"/>
      <c r="C1165" s="153"/>
      <c r="D1165" s="153"/>
      <c r="E1165" s="153"/>
      <c r="F1165" s="153"/>
      <c r="G1165" s="153"/>
      <c r="H1165" s="153"/>
      <c r="I1165" s="153"/>
      <c r="J1165" s="153"/>
      <c r="K1165" s="153"/>
      <c r="L1165" s="153"/>
      <c r="M1165" s="153"/>
      <c r="N1165" s="153"/>
    </row>
    <row r="1166" spans="1:14" ht="20">
      <c r="A1166" s="5"/>
      <c r="B1166" s="153"/>
      <c r="C1166" s="153"/>
      <c r="D1166" s="153"/>
      <c r="E1166" s="153"/>
      <c r="F1166" s="153"/>
      <c r="G1166" s="153"/>
      <c r="H1166" s="153"/>
      <c r="I1166" s="153"/>
      <c r="J1166" s="153"/>
      <c r="K1166" s="153"/>
      <c r="L1166" s="153"/>
      <c r="M1166" s="153"/>
      <c r="N1166" s="153"/>
    </row>
    <row r="1167" spans="1:14" ht="20">
      <c r="A1167" s="5"/>
      <c r="B1167" s="153"/>
      <c r="C1167" s="153"/>
      <c r="D1167" s="153"/>
      <c r="E1167" s="153"/>
      <c r="F1167" s="153"/>
      <c r="G1167" s="153"/>
      <c r="H1167" s="153"/>
      <c r="I1167" s="153"/>
      <c r="J1167" s="153"/>
      <c r="K1167" s="153"/>
      <c r="L1167" s="153"/>
      <c r="M1167" s="153"/>
      <c r="N1167" s="153"/>
    </row>
    <row r="1168" spans="1:14" ht="20">
      <c r="A1168" s="1"/>
      <c r="B1168" s="153"/>
      <c r="C1168" s="153"/>
      <c r="D1168" s="153"/>
      <c r="E1168" s="153"/>
      <c r="F1168" s="153"/>
      <c r="G1168" s="153"/>
      <c r="H1168" s="153"/>
      <c r="I1168" s="153"/>
      <c r="J1168" s="153"/>
      <c r="K1168" s="153"/>
      <c r="L1168" s="153"/>
      <c r="M1168" s="153"/>
      <c r="N1168" s="153"/>
    </row>
    <row r="1169" spans="2:14" ht="20">
      <c r="B1169" s="153"/>
      <c r="C1169" s="153"/>
      <c r="D1169" s="153"/>
      <c r="E1169" s="153"/>
      <c r="F1169" s="153"/>
      <c r="G1169" s="153"/>
      <c r="H1169" s="153"/>
      <c r="I1169" s="153"/>
      <c r="J1169" s="153"/>
      <c r="K1169" s="153"/>
      <c r="L1169" s="153"/>
      <c r="M1169" s="153"/>
      <c r="N1169" s="153"/>
    </row>
    <row r="1170" spans="2:14" ht="20">
      <c r="B1170" s="153"/>
      <c r="C1170" s="153"/>
      <c r="D1170" s="153"/>
      <c r="E1170" s="153"/>
      <c r="F1170" s="153"/>
      <c r="G1170" s="153"/>
      <c r="H1170" s="153"/>
      <c r="I1170" s="153"/>
      <c r="J1170" s="153"/>
      <c r="K1170" s="153"/>
      <c r="L1170" s="153"/>
      <c r="M1170" s="153"/>
      <c r="N1170" s="153"/>
    </row>
    <row r="1171" spans="2:14" ht="20">
      <c r="B1171" s="153"/>
      <c r="C1171" s="153"/>
      <c r="D1171" s="153"/>
      <c r="E1171" s="153"/>
      <c r="F1171" s="153"/>
      <c r="G1171" s="153"/>
      <c r="H1171" s="153"/>
      <c r="I1171" s="153"/>
      <c r="J1171" s="153"/>
      <c r="K1171" s="153"/>
      <c r="L1171" s="153"/>
      <c r="M1171" s="153"/>
      <c r="N1171" s="153"/>
    </row>
    <row r="1172" spans="2:14" ht="20">
      <c r="B1172" s="153"/>
      <c r="C1172" s="153"/>
      <c r="D1172" s="153"/>
      <c r="E1172" s="153"/>
      <c r="F1172" s="153"/>
      <c r="G1172" s="153"/>
      <c r="H1172" s="153"/>
      <c r="I1172" s="153"/>
      <c r="J1172" s="153"/>
      <c r="K1172" s="153"/>
      <c r="L1172" s="153"/>
      <c r="M1172" s="153"/>
      <c r="N1172" s="153"/>
    </row>
    <row r="1173" spans="2:14" ht="20">
      <c r="B1173" s="153"/>
      <c r="C1173" s="153"/>
      <c r="D1173" s="153"/>
      <c r="E1173" s="153"/>
      <c r="F1173" s="153"/>
      <c r="G1173" s="153"/>
      <c r="H1173" s="153"/>
      <c r="I1173" s="153"/>
      <c r="J1173" s="153"/>
      <c r="K1173" s="153"/>
      <c r="L1173" s="153"/>
      <c r="M1173" s="153"/>
      <c r="N1173" s="153"/>
    </row>
    <row r="1174" spans="2:14" ht="20">
      <c r="B1174" s="153"/>
      <c r="C1174" s="153"/>
      <c r="D1174" s="153"/>
      <c r="E1174" s="153"/>
      <c r="F1174" s="153"/>
      <c r="G1174" s="153"/>
      <c r="H1174" s="153"/>
      <c r="I1174" s="153"/>
      <c r="J1174" s="153"/>
      <c r="K1174" s="153"/>
      <c r="L1174" s="153"/>
      <c r="M1174" s="153"/>
      <c r="N1174" s="153"/>
    </row>
    <row r="1175" spans="2:14" ht="20">
      <c r="B1175" s="153"/>
      <c r="C1175" s="153"/>
      <c r="D1175" s="153"/>
      <c r="E1175" s="153"/>
      <c r="F1175" s="153"/>
      <c r="G1175" s="153"/>
      <c r="H1175" s="153"/>
      <c r="I1175" s="153"/>
      <c r="J1175" s="153"/>
      <c r="K1175" s="153"/>
      <c r="L1175" s="153"/>
      <c r="M1175" s="153"/>
      <c r="N1175" s="153"/>
    </row>
    <row r="1176" spans="2:14" ht="20">
      <c r="B1176" s="153"/>
      <c r="C1176" s="153"/>
      <c r="D1176" s="153"/>
      <c r="E1176" s="153"/>
      <c r="F1176" s="153"/>
      <c r="G1176" s="153"/>
      <c r="H1176" s="153"/>
      <c r="I1176" s="153"/>
      <c r="J1176" s="153"/>
      <c r="K1176" s="153"/>
      <c r="L1176" s="153"/>
      <c r="M1176" s="153"/>
      <c r="N1176" s="153"/>
    </row>
    <row r="1177" spans="2:14" ht="20">
      <c r="B1177" s="153"/>
      <c r="C1177" s="153"/>
      <c r="D1177" s="153"/>
      <c r="E1177" s="153"/>
      <c r="F1177" s="153"/>
      <c r="G1177" s="153"/>
      <c r="H1177" s="153"/>
      <c r="I1177" s="153"/>
      <c r="J1177" s="153"/>
      <c r="K1177" s="153"/>
      <c r="L1177" s="153"/>
      <c r="M1177" s="153"/>
      <c r="N1177" s="153"/>
    </row>
    <row r="1178" spans="2:14" ht="20">
      <c r="B1178" s="153"/>
      <c r="C1178" s="153"/>
      <c r="D1178" s="153"/>
      <c r="E1178" s="153"/>
      <c r="F1178" s="153"/>
      <c r="G1178" s="153"/>
      <c r="H1178" s="153"/>
      <c r="I1178" s="153"/>
      <c r="J1178" s="153"/>
      <c r="K1178" s="153"/>
      <c r="L1178" s="153"/>
      <c r="M1178" s="153"/>
      <c r="N1178" s="153"/>
    </row>
    <row r="1179" spans="2:14" ht="20">
      <c r="B1179" s="153"/>
      <c r="C1179" s="153"/>
      <c r="D1179" s="153"/>
      <c r="E1179" s="153"/>
      <c r="F1179" s="153"/>
      <c r="G1179" s="153"/>
      <c r="H1179" s="153"/>
      <c r="I1179" s="153"/>
      <c r="J1179" s="153"/>
      <c r="K1179" s="153"/>
      <c r="L1179" s="153"/>
      <c r="M1179" s="153"/>
      <c r="N1179" s="153"/>
    </row>
    <row r="1180" spans="2:14" ht="20">
      <c r="B1180" s="153"/>
      <c r="C1180" s="153"/>
      <c r="D1180" s="153"/>
      <c r="E1180" s="153"/>
      <c r="F1180" s="153"/>
      <c r="G1180" s="153"/>
      <c r="H1180" s="153"/>
      <c r="I1180" s="153"/>
      <c r="J1180" s="153"/>
      <c r="K1180" s="153"/>
      <c r="L1180" s="153"/>
      <c r="M1180" s="153"/>
      <c r="N1180" s="153"/>
    </row>
    <row r="1181" spans="2:14" ht="20">
      <c r="B1181" s="153"/>
      <c r="C1181" s="153"/>
      <c r="D1181" s="153"/>
      <c r="E1181" s="153"/>
      <c r="F1181" s="153"/>
      <c r="G1181" s="153"/>
      <c r="H1181" s="153"/>
      <c r="I1181" s="153"/>
      <c r="J1181" s="153"/>
      <c r="K1181" s="153"/>
      <c r="L1181" s="153"/>
      <c r="M1181" s="153"/>
      <c r="N1181" s="153"/>
    </row>
    <row r="1182" spans="2:14" ht="20">
      <c r="B1182" s="153"/>
      <c r="C1182" s="153"/>
      <c r="D1182" s="153"/>
      <c r="E1182" s="153"/>
      <c r="F1182" s="153"/>
      <c r="G1182" s="153"/>
      <c r="H1182" s="153"/>
      <c r="I1182" s="153"/>
      <c r="J1182" s="153"/>
      <c r="K1182" s="153"/>
      <c r="L1182" s="153"/>
      <c r="M1182" s="153"/>
      <c r="N1182" s="153"/>
    </row>
    <row r="1183" spans="2:14" ht="20">
      <c r="B1183" s="153"/>
      <c r="C1183" s="153"/>
      <c r="D1183" s="153"/>
      <c r="E1183" s="153"/>
      <c r="F1183" s="153"/>
      <c r="G1183" s="153"/>
      <c r="H1183" s="153"/>
      <c r="I1183" s="153"/>
      <c r="J1183" s="153"/>
      <c r="K1183" s="153"/>
      <c r="L1183" s="153"/>
      <c r="M1183" s="153"/>
      <c r="N1183" s="153"/>
    </row>
    <row r="1184" spans="2:14" ht="20">
      <c r="B1184" s="153"/>
      <c r="C1184" s="153"/>
      <c r="D1184" s="153"/>
      <c r="E1184" s="153"/>
      <c r="F1184" s="153"/>
      <c r="G1184" s="153"/>
      <c r="H1184" s="153"/>
      <c r="I1184" s="153"/>
      <c r="J1184" s="153"/>
      <c r="K1184" s="153"/>
      <c r="L1184" s="153"/>
      <c r="M1184" s="153"/>
      <c r="N1184" s="153"/>
    </row>
    <row r="1185" spans="2:14" ht="20">
      <c r="B1185" s="153"/>
      <c r="C1185" s="153"/>
      <c r="D1185" s="153"/>
      <c r="E1185" s="153"/>
      <c r="F1185" s="153"/>
      <c r="G1185" s="153"/>
      <c r="H1185" s="153"/>
      <c r="I1185" s="153"/>
      <c r="J1185" s="153"/>
      <c r="K1185" s="153"/>
      <c r="L1185" s="153"/>
      <c r="M1185" s="153"/>
      <c r="N1185" s="153"/>
    </row>
    <row r="1186" spans="2:14" ht="20">
      <c r="B1186" s="153"/>
      <c r="C1186" s="153"/>
      <c r="D1186" s="153"/>
      <c r="E1186" s="153"/>
      <c r="F1186" s="153"/>
      <c r="G1186" s="153"/>
      <c r="H1186" s="153"/>
      <c r="I1186" s="153"/>
      <c r="J1186" s="153"/>
      <c r="K1186" s="153"/>
      <c r="L1186" s="153"/>
      <c r="M1186" s="153"/>
      <c r="N1186" s="153"/>
    </row>
    <row r="1187" spans="2:14" ht="20">
      <c r="B1187" s="153"/>
      <c r="C1187" s="153"/>
      <c r="D1187" s="153"/>
      <c r="E1187" s="153"/>
      <c r="F1187" s="153"/>
      <c r="G1187" s="153"/>
      <c r="H1187" s="153"/>
      <c r="I1187" s="153"/>
      <c r="J1187" s="153"/>
      <c r="K1187" s="153"/>
      <c r="L1187" s="153"/>
      <c r="M1187" s="153"/>
      <c r="N1187" s="153"/>
    </row>
    <row r="1188" spans="2:14" ht="20">
      <c r="B1188" s="153"/>
      <c r="C1188" s="153"/>
      <c r="D1188" s="153"/>
      <c r="E1188" s="153"/>
      <c r="F1188" s="153"/>
      <c r="G1188" s="153"/>
      <c r="H1188" s="153"/>
      <c r="I1188" s="153"/>
      <c r="J1188" s="153"/>
      <c r="K1188" s="153"/>
      <c r="L1188" s="153"/>
      <c r="M1188" s="153"/>
      <c r="N1188" s="153"/>
    </row>
    <row r="1189" spans="2:14" ht="20">
      <c r="B1189" s="153"/>
      <c r="C1189" s="153"/>
      <c r="D1189" s="153"/>
      <c r="E1189" s="153"/>
      <c r="F1189" s="153"/>
      <c r="G1189" s="153"/>
      <c r="H1189" s="153"/>
      <c r="I1189" s="153"/>
      <c r="J1189" s="153"/>
      <c r="K1189" s="153"/>
      <c r="L1189" s="153"/>
      <c r="M1189" s="153"/>
      <c r="N1189" s="153"/>
    </row>
    <row r="1190" spans="2:14" ht="20">
      <c r="B1190" s="153"/>
      <c r="C1190" s="153"/>
      <c r="D1190" s="153"/>
      <c r="E1190" s="153"/>
      <c r="F1190" s="153"/>
      <c r="G1190" s="153"/>
      <c r="H1190" s="153"/>
      <c r="I1190" s="153"/>
      <c r="J1190" s="153"/>
      <c r="K1190" s="153"/>
      <c r="L1190" s="153"/>
      <c r="M1190" s="153"/>
      <c r="N1190" s="153"/>
    </row>
    <row r="1191" spans="2:14" ht="20">
      <c r="B1191" s="153"/>
      <c r="C1191" s="153"/>
      <c r="D1191" s="153"/>
      <c r="E1191" s="153"/>
      <c r="F1191" s="153"/>
      <c r="G1191" s="153"/>
      <c r="H1191" s="153"/>
      <c r="I1191" s="153"/>
      <c r="J1191" s="153"/>
      <c r="K1191" s="153"/>
      <c r="L1191" s="153"/>
      <c r="M1191" s="153"/>
      <c r="N1191" s="153"/>
    </row>
    <row r="1192" spans="2:14" ht="20">
      <c r="B1192" s="153"/>
      <c r="C1192" s="153"/>
      <c r="D1192" s="153"/>
      <c r="E1192" s="153"/>
      <c r="F1192" s="153"/>
      <c r="G1192" s="153"/>
      <c r="H1192" s="153"/>
      <c r="I1192" s="153"/>
      <c r="J1192" s="153"/>
      <c r="K1192" s="153"/>
      <c r="L1192" s="153"/>
      <c r="M1192" s="153"/>
      <c r="N1192" s="153"/>
    </row>
    <row r="1193" spans="2:14" ht="20">
      <c r="B1193" s="153"/>
      <c r="C1193" s="153"/>
      <c r="D1193" s="153"/>
      <c r="E1193" s="153"/>
      <c r="F1193" s="153"/>
      <c r="G1193" s="153"/>
      <c r="H1193" s="153"/>
      <c r="I1193" s="153"/>
      <c r="J1193" s="153"/>
      <c r="K1193" s="153"/>
      <c r="L1193" s="153"/>
      <c r="M1193" s="153"/>
      <c r="N1193" s="153"/>
    </row>
    <row r="1194" spans="2:14" ht="20">
      <c r="B1194" s="153"/>
      <c r="C1194" s="153"/>
      <c r="D1194" s="153"/>
      <c r="E1194" s="153"/>
      <c r="F1194" s="153"/>
      <c r="G1194" s="153"/>
      <c r="H1194" s="153"/>
      <c r="I1194" s="153"/>
      <c r="J1194" s="153"/>
      <c r="K1194" s="153"/>
      <c r="L1194" s="153"/>
      <c r="M1194" s="153"/>
      <c r="N1194" s="153"/>
    </row>
    <row r="1195" spans="2:14" ht="20">
      <c r="B1195" s="153"/>
      <c r="C1195" s="153"/>
      <c r="D1195" s="153"/>
      <c r="E1195" s="153"/>
      <c r="F1195" s="153"/>
      <c r="G1195" s="153"/>
      <c r="H1195" s="153"/>
      <c r="I1195" s="153"/>
      <c r="J1195" s="153"/>
      <c r="K1195" s="153"/>
      <c r="L1195" s="153"/>
      <c r="M1195" s="153"/>
      <c r="N1195" s="153"/>
    </row>
    <row r="1196" spans="2:14" ht="20">
      <c r="B1196" s="153"/>
      <c r="C1196" s="153"/>
      <c r="D1196" s="153"/>
      <c r="E1196" s="153"/>
      <c r="F1196" s="153"/>
      <c r="G1196" s="153"/>
      <c r="H1196" s="153"/>
      <c r="I1196" s="153"/>
      <c r="J1196" s="153"/>
      <c r="K1196" s="153"/>
      <c r="L1196" s="153"/>
      <c r="M1196" s="153"/>
      <c r="N1196" s="153"/>
    </row>
    <row r="1197" spans="2:14" ht="20">
      <c r="B1197" s="153"/>
      <c r="C1197" s="153"/>
      <c r="D1197" s="153"/>
      <c r="E1197" s="153"/>
      <c r="F1197" s="153"/>
      <c r="G1197" s="153"/>
      <c r="H1197" s="153"/>
      <c r="I1197" s="153"/>
      <c r="J1197" s="153"/>
      <c r="K1197" s="153"/>
      <c r="L1197" s="153"/>
      <c r="M1197" s="153"/>
      <c r="N1197" s="153"/>
    </row>
    <row r="1198" spans="2:14" ht="20">
      <c r="B1198" s="153"/>
      <c r="C1198" s="153"/>
      <c r="D1198" s="153"/>
      <c r="E1198" s="153"/>
      <c r="F1198" s="153"/>
      <c r="G1198" s="153"/>
      <c r="H1198" s="153"/>
      <c r="I1198" s="153"/>
      <c r="J1198" s="153"/>
      <c r="K1198" s="153"/>
      <c r="L1198" s="153"/>
      <c r="M1198" s="153"/>
      <c r="N1198" s="153"/>
    </row>
    <row r="1199" spans="2:14" ht="20">
      <c r="B1199" s="153"/>
      <c r="C1199" s="153"/>
      <c r="D1199" s="153"/>
      <c r="E1199" s="153"/>
      <c r="F1199" s="153"/>
      <c r="G1199" s="153"/>
      <c r="H1199" s="153"/>
      <c r="I1199" s="153"/>
      <c r="J1199" s="153"/>
      <c r="K1199" s="153"/>
      <c r="L1199" s="153"/>
      <c r="M1199" s="153"/>
      <c r="N1199" s="153"/>
    </row>
    <row r="1200" spans="2:14" ht="20">
      <c r="B1200" s="153"/>
      <c r="C1200" s="153"/>
      <c r="D1200" s="153"/>
      <c r="E1200" s="153"/>
      <c r="F1200" s="153"/>
      <c r="G1200" s="153"/>
      <c r="H1200" s="153"/>
      <c r="I1200" s="153"/>
      <c r="J1200" s="153"/>
      <c r="K1200" s="153"/>
      <c r="L1200" s="153"/>
      <c r="M1200" s="153"/>
      <c r="N1200" s="153"/>
    </row>
    <row r="1201" spans="2:14" ht="20">
      <c r="B1201" s="153"/>
      <c r="C1201" s="153"/>
      <c r="D1201" s="153"/>
      <c r="E1201" s="153"/>
      <c r="F1201" s="153"/>
      <c r="G1201" s="153"/>
      <c r="H1201" s="153"/>
      <c r="I1201" s="153"/>
      <c r="J1201" s="153"/>
      <c r="K1201" s="153"/>
      <c r="L1201" s="153"/>
      <c r="M1201" s="153"/>
      <c r="N1201" s="153"/>
    </row>
    <row r="1202" spans="2:14" ht="20">
      <c r="B1202" s="153"/>
      <c r="C1202" s="153"/>
      <c r="D1202" s="153"/>
      <c r="E1202" s="153"/>
      <c r="F1202" s="153"/>
      <c r="G1202" s="153"/>
      <c r="H1202" s="153"/>
      <c r="I1202" s="153"/>
      <c r="J1202" s="153"/>
      <c r="K1202" s="153"/>
      <c r="L1202" s="153"/>
      <c r="M1202" s="153"/>
      <c r="N1202" s="153"/>
    </row>
    <row r="1203" spans="2:14" ht="20">
      <c r="B1203" s="153"/>
      <c r="C1203" s="153"/>
      <c r="D1203" s="153"/>
      <c r="E1203" s="153"/>
      <c r="F1203" s="153"/>
      <c r="G1203" s="153"/>
      <c r="H1203" s="153"/>
      <c r="I1203" s="153"/>
      <c r="J1203" s="153"/>
      <c r="K1203" s="153"/>
      <c r="L1203" s="153"/>
      <c r="M1203" s="153"/>
      <c r="N1203" s="153"/>
    </row>
    <row r="1204" spans="2:14" ht="20">
      <c r="B1204" s="153"/>
      <c r="C1204" s="153"/>
      <c r="D1204" s="153"/>
      <c r="E1204" s="153"/>
      <c r="F1204" s="153"/>
      <c r="G1204" s="153"/>
      <c r="H1204" s="153"/>
      <c r="I1204" s="153"/>
      <c r="J1204" s="153"/>
      <c r="K1204" s="153"/>
      <c r="L1204" s="153"/>
      <c r="M1204" s="153"/>
      <c r="N1204" s="153"/>
    </row>
    <row r="1205" spans="2:14" ht="20">
      <c r="B1205" s="153"/>
      <c r="C1205" s="153"/>
      <c r="D1205" s="153"/>
      <c r="E1205" s="153"/>
      <c r="F1205" s="153"/>
      <c r="G1205" s="153"/>
      <c r="H1205" s="153"/>
      <c r="I1205" s="153"/>
      <c r="J1205" s="153"/>
      <c r="K1205" s="153"/>
      <c r="L1205" s="153"/>
      <c r="M1205" s="153"/>
      <c r="N1205" s="153"/>
    </row>
    <row r="1206" spans="2:14" ht="20">
      <c r="B1206" s="153"/>
      <c r="C1206" s="153"/>
      <c r="D1206" s="153"/>
      <c r="E1206" s="153"/>
      <c r="F1206" s="153"/>
      <c r="G1206" s="153"/>
      <c r="H1206" s="153"/>
      <c r="I1206" s="153"/>
      <c r="J1206" s="153"/>
      <c r="K1206" s="153"/>
      <c r="L1206" s="153"/>
      <c r="M1206" s="153"/>
      <c r="N1206" s="153"/>
    </row>
    <row r="1207" spans="2:14" ht="20">
      <c r="B1207" s="153"/>
      <c r="C1207" s="153"/>
      <c r="D1207" s="153"/>
      <c r="E1207" s="153"/>
      <c r="F1207" s="153"/>
      <c r="G1207" s="153"/>
      <c r="H1207" s="153"/>
      <c r="I1207" s="153"/>
      <c r="J1207" s="153"/>
      <c r="K1207" s="153"/>
      <c r="L1207" s="153"/>
      <c r="M1207" s="153"/>
      <c r="N1207" s="153"/>
    </row>
    <row r="1208" spans="2:14" ht="20">
      <c r="B1208" s="153"/>
      <c r="C1208" s="153"/>
      <c r="D1208" s="153"/>
      <c r="E1208" s="153"/>
      <c r="F1208" s="153"/>
      <c r="G1208" s="153"/>
      <c r="H1208" s="153"/>
      <c r="I1208" s="153"/>
      <c r="J1208" s="153"/>
      <c r="K1208" s="153"/>
      <c r="L1208" s="153"/>
      <c r="M1208" s="153"/>
      <c r="N1208" s="153"/>
    </row>
    <row r="1209" spans="2:14" ht="20">
      <c r="B1209" s="153"/>
      <c r="C1209" s="153"/>
      <c r="D1209" s="153"/>
      <c r="E1209" s="153"/>
      <c r="F1209" s="153"/>
      <c r="G1209" s="153"/>
      <c r="H1209" s="153"/>
      <c r="I1209" s="153"/>
      <c r="J1209" s="153"/>
      <c r="K1209" s="153"/>
      <c r="L1209" s="153"/>
      <c r="M1209" s="153"/>
      <c r="N1209" s="153"/>
    </row>
    <row r="1210" spans="2:14" ht="20">
      <c r="B1210" s="153"/>
      <c r="C1210" s="153"/>
      <c r="D1210" s="153"/>
      <c r="E1210" s="153"/>
      <c r="F1210" s="153"/>
      <c r="G1210" s="153"/>
      <c r="H1210" s="153"/>
      <c r="I1210" s="153"/>
      <c r="J1210" s="153"/>
      <c r="K1210" s="153"/>
      <c r="L1210" s="153"/>
      <c r="M1210" s="153"/>
      <c r="N1210" s="153"/>
    </row>
    <row r="1211" spans="2:14" ht="20">
      <c r="B1211" s="153"/>
      <c r="C1211" s="153"/>
      <c r="D1211" s="153"/>
      <c r="E1211" s="153"/>
      <c r="F1211" s="153"/>
      <c r="G1211" s="153"/>
      <c r="H1211" s="153"/>
      <c r="I1211" s="153"/>
      <c r="J1211" s="153"/>
      <c r="K1211" s="153"/>
      <c r="L1211" s="153"/>
      <c r="M1211" s="153"/>
      <c r="N1211" s="153"/>
    </row>
    <row r="1212" spans="2:14" ht="20">
      <c r="B1212" s="153"/>
      <c r="C1212" s="153"/>
      <c r="D1212" s="153"/>
      <c r="E1212" s="153"/>
      <c r="F1212" s="153"/>
      <c r="G1212" s="153"/>
      <c r="H1212" s="153"/>
      <c r="I1212" s="153"/>
      <c r="J1212" s="153"/>
      <c r="K1212" s="153"/>
      <c r="L1212" s="153"/>
      <c r="M1212" s="153"/>
      <c r="N1212" s="153"/>
    </row>
    <row r="1213" spans="2:14" ht="20">
      <c r="B1213" s="153"/>
      <c r="C1213" s="153"/>
      <c r="D1213" s="153"/>
      <c r="E1213" s="153"/>
      <c r="F1213" s="153"/>
      <c r="G1213" s="153"/>
      <c r="H1213" s="153"/>
      <c r="I1213" s="153"/>
      <c r="J1213" s="153"/>
      <c r="K1213" s="153"/>
      <c r="L1213" s="153"/>
      <c r="M1213" s="153"/>
      <c r="N1213" s="153"/>
    </row>
    <row r="1214" spans="2:14" ht="20">
      <c r="B1214" s="153"/>
      <c r="C1214" s="153"/>
      <c r="D1214" s="153"/>
      <c r="E1214" s="153"/>
      <c r="F1214" s="153"/>
      <c r="G1214" s="153"/>
      <c r="H1214" s="153"/>
      <c r="I1214" s="153"/>
      <c r="J1214" s="153"/>
      <c r="K1214" s="153"/>
      <c r="L1214" s="153"/>
      <c r="M1214" s="153"/>
      <c r="N1214" s="153"/>
    </row>
    <row r="1215" spans="2:14" ht="20">
      <c r="B1215" s="153"/>
      <c r="C1215" s="153"/>
      <c r="D1215" s="153"/>
      <c r="E1215" s="153"/>
      <c r="F1215" s="153"/>
      <c r="G1215" s="153"/>
      <c r="H1215" s="153"/>
      <c r="I1215" s="153"/>
      <c r="J1215" s="153"/>
      <c r="K1215" s="153"/>
      <c r="L1215" s="153"/>
      <c r="M1215" s="153"/>
      <c r="N1215" s="153"/>
    </row>
    <row r="1216" spans="2:14" ht="20">
      <c r="B1216" s="153"/>
      <c r="C1216" s="153"/>
      <c r="D1216" s="153"/>
      <c r="E1216" s="153"/>
      <c r="F1216" s="153"/>
      <c r="G1216" s="153"/>
      <c r="H1216" s="153"/>
      <c r="I1216" s="153"/>
      <c r="J1216" s="153"/>
      <c r="K1216" s="153"/>
      <c r="L1216" s="153"/>
      <c r="M1216" s="153"/>
      <c r="N1216" s="153"/>
    </row>
    <row r="1217" spans="2:14" ht="20">
      <c r="B1217" s="153"/>
      <c r="C1217" s="153"/>
      <c r="D1217" s="153"/>
      <c r="E1217" s="153"/>
      <c r="F1217" s="153"/>
      <c r="G1217" s="153"/>
      <c r="H1217" s="153"/>
      <c r="I1217" s="153"/>
      <c r="J1217" s="153"/>
      <c r="K1217" s="153"/>
      <c r="L1217" s="153"/>
      <c r="M1217" s="153"/>
      <c r="N1217" s="153"/>
    </row>
    <row r="1218" spans="2:14" ht="20">
      <c r="B1218" s="153"/>
      <c r="C1218" s="153"/>
      <c r="D1218" s="153"/>
      <c r="E1218" s="153"/>
      <c r="F1218" s="153"/>
      <c r="G1218" s="153"/>
      <c r="H1218" s="153"/>
      <c r="I1218" s="153"/>
      <c r="J1218" s="153"/>
      <c r="K1218" s="153"/>
      <c r="L1218" s="153"/>
      <c r="M1218" s="153"/>
      <c r="N1218" s="153"/>
    </row>
    <row r="1219" spans="2:14" ht="20">
      <c r="B1219" s="153"/>
      <c r="C1219" s="153"/>
      <c r="D1219" s="153"/>
      <c r="E1219" s="153"/>
      <c r="F1219" s="153"/>
      <c r="G1219" s="153"/>
      <c r="H1219" s="153"/>
      <c r="I1219" s="153"/>
      <c r="J1219" s="153"/>
      <c r="K1219" s="153"/>
      <c r="L1219" s="153"/>
      <c r="M1219" s="153"/>
      <c r="N1219" s="153"/>
    </row>
    <row r="1220" spans="2:14" ht="20">
      <c r="B1220" s="153"/>
      <c r="C1220" s="153"/>
      <c r="D1220" s="153"/>
      <c r="E1220" s="153"/>
      <c r="F1220" s="153"/>
      <c r="G1220" s="153"/>
      <c r="H1220" s="153"/>
      <c r="I1220" s="153"/>
      <c r="J1220" s="153"/>
      <c r="K1220" s="153"/>
      <c r="L1220" s="153"/>
      <c r="M1220" s="153"/>
      <c r="N1220" s="153"/>
    </row>
    <row r="1221" spans="2:14" ht="20">
      <c r="B1221" s="153"/>
      <c r="C1221" s="153"/>
      <c r="D1221" s="153"/>
      <c r="E1221" s="153"/>
      <c r="F1221" s="153"/>
      <c r="G1221" s="153"/>
      <c r="H1221" s="153"/>
      <c r="I1221" s="153"/>
      <c r="J1221" s="153"/>
      <c r="K1221" s="153"/>
      <c r="L1221" s="153"/>
      <c r="M1221" s="153"/>
      <c r="N1221" s="153"/>
    </row>
    <row r="1222" spans="2:14" ht="20">
      <c r="B1222" s="153"/>
      <c r="C1222" s="153"/>
      <c r="D1222" s="153"/>
      <c r="E1222" s="153"/>
      <c r="F1222" s="153"/>
      <c r="G1222" s="153"/>
      <c r="H1222" s="153"/>
      <c r="I1222" s="153"/>
      <c r="J1222" s="153"/>
      <c r="K1222" s="153"/>
      <c r="L1222" s="153"/>
      <c r="M1222" s="153"/>
      <c r="N1222" s="153"/>
    </row>
    <row r="1223" spans="2:14" ht="20">
      <c r="B1223" s="153"/>
      <c r="C1223" s="153"/>
      <c r="D1223" s="153"/>
      <c r="E1223" s="153"/>
      <c r="F1223" s="153"/>
      <c r="G1223" s="153"/>
      <c r="H1223" s="153"/>
      <c r="I1223" s="153"/>
      <c r="J1223" s="153"/>
      <c r="K1223" s="153"/>
      <c r="L1223" s="153"/>
      <c r="M1223" s="153"/>
      <c r="N1223" s="153"/>
    </row>
    <row r="1224" spans="2:14" ht="20">
      <c r="B1224" s="153"/>
      <c r="C1224" s="153"/>
      <c r="D1224" s="153"/>
      <c r="E1224" s="153"/>
      <c r="F1224" s="153"/>
      <c r="G1224" s="153"/>
      <c r="H1224" s="153"/>
      <c r="I1224" s="153"/>
      <c r="J1224" s="153"/>
      <c r="K1224" s="153"/>
      <c r="L1224" s="153"/>
      <c r="M1224" s="153"/>
      <c r="N1224" s="153"/>
    </row>
    <row r="1225" spans="2:14" ht="20">
      <c r="B1225" s="153"/>
      <c r="C1225" s="153"/>
      <c r="D1225" s="153"/>
      <c r="E1225" s="153"/>
      <c r="F1225" s="153"/>
      <c r="G1225" s="153"/>
      <c r="H1225" s="153"/>
      <c r="I1225" s="153"/>
      <c r="J1225" s="153"/>
      <c r="K1225" s="153"/>
      <c r="L1225" s="153"/>
      <c r="M1225" s="153"/>
      <c r="N1225" s="153"/>
    </row>
    <row r="1226" spans="2:14" ht="20">
      <c r="B1226" s="153"/>
      <c r="C1226" s="153"/>
      <c r="D1226" s="153"/>
      <c r="E1226" s="153"/>
      <c r="F1226" s="153"/>
      <c r="G1226" s="153"/>
      <c r="H1226" s="153"/>
      <c r="I1226" s="153"/>
      <c r="J1226" s="153"/>
      <c r="K1226" s="153"/>
      <c r="L1226" s="153"/>
      <c r="M1226" s="153"/>
      <c r="N1226" s="153"/>
    </row>
    <row r="1227" spans="2:14" ht="20">
      <c r="B1227" s="153"/>
      <c r="C1227" s="153"/>
      <c r="D1227" s="153"/>
      <c r="E1227" s="153"/>
      <c r="F1227" s="153"/>
      <c r="G1227" s="153"/>
      <c r="H1227" s="153"/>
      <c r="I1227" s="153"/>
      <c r="J1227" s="153"/>
      <c r="K1227" s="153"/>
      <c r="L1227" s="153"/>
      <c r="M1227" s="153"/>
      <c r="N1227" s="153"/>
    </row>
    <row r="1228" spans="2:14" ht="20">
      <c r="B1228" s="153"/>
      <c r="C1228" s="153"/>
      <c r="D1228" s="153"/>
      <c r="E1228" s="153"/>
      <c r="F1228" s="153"/>
      <c r="G1228" s="153"/>
      <c r="H1228" s="153"/>
      <c r="I1228" s="153"/>
      <c r="J1228" s="153"/>
      <c r="K1228" s="153"/>
      <c r="L1228" s="153"/>
      <c r="M1228" s="153"/>
      <c r="N1228" s="153"/>
    </row>
    <row r="1229" spans="2:14" ht="20">
      <c r="B1229" s="153"/>
      <c r="C1229" s="153"/>
      <c r="D1229" s="153"/>
      <c r="E1229" s="153"/>
      <c r="F1229" s="153"/>
      <c r="G1229" s="153"/>
      <c r="H1229" s="153"/>
      <c r="I1229" s="153"/>
      <c r="J1229" s="153"/>
      <c r="K1229" s="153"/>
      <c r="L1229" s="153"/>
      <c r="M1229" s="153"/>
      <c r="N1229" s="153"/>
    </row>
    <row r="1230" spans="2:14" ht="20">
      <c r="B1230" s="153"/>
      <c r="C1230" s="153"/>
      <c r="D1230" s="153"/>
      <c r="E1230" s="153"/>
      <c r="F1230" s="153"/>
      <c r="G1230" s="153"/>
      <c r="H1230" s="153"/>
      <c r="I1230" s="153"/>
      <c r="J1230" s="153"/>
      <c r="K1230" s="153"/>
      <c r="L1230" s="153"/>
      <c r="M1230" s="153"/>
      <c r="N1230" s="153"/>
    </row>
    <row r="1231" spans="2:14" ht="20">
      <c r="B1231" s="153"/>
      <c r="C1231" s="153"/>
      <c r="D1231" s="153"/>
      <c r="E1231" s="153"/>
      <c r="F1231" s="153"/>
      <c r="G1231" s="153"/>
      <c r="H1231" s="153"/>
      <c r="I1231" s="153"/>
      <c r="J1231" s="153"/>
      <c r="K1231" s="153"/>
      <c r="L1231" s="153"/>
      <c r="M1231" s="153"/>
      <c r="N1231" s="153"/>
    </row>
    <row r="1232" spans="2:14" ht="20">
      <c r="B1232" s="153"/>
      <c r="C1232" s="153"/>
      <c r="D1232" s="153"/>
      <c r="E1232" s="153"/>
      <c r="F1232" s="153"/>
      <c r="G1232" s="153"/>
      <c r="H1232" s="153"/>
      <c r="I1232" s="153"/>
      <c r="J1232" s="153"/>
      <c r="K1232" s="153"/>
      <c r="L1232" s="153"/>
      <c r="M1232" s="153"/>
      <c r="N1232" s="153"/>
    </row>
    <row r="1233" spans="2:14" ht="20">
      <c r="B1233" s="153"/>
      <c r="C1233" s="153"/>
      <c r="D1233" s="153"/>
      <c r="E1233" s="153"/>
      <c r="F1233" s="153"/>
      <c r="G1233" s="153"/>
      <c r="H1233" s="153"/>
      <c r="I1233" s="153"/>
      <c r="J1233" s="153"/>
      <c r="K1233" s="153"/>
      <c r="L1233" s="153"/>
      <c r="M1233" s="153"/>
      <c r="N1233" s="153"/>
    </row>
    <row r="1234" spans="2:14" ht="20">
      <c r="B1234" s="153"/>
      <c r="C1234" s="153"/>
      <c r="D1234" s="153"/>
      <c r="E1234" s="153"/>
      <c r="F1234" s="153"/>
      <c r="G1234" s="153"/>
      <c r="H1234" s="153"/>
      <c r="I1234" s="153"/>
      <c r="J1234" s="153"/>
      <c r="K1234" s="153"/>
      <c r="L1234" s="153"/>
      <c r="M1234" s="153"/>
      <c r="N1234" s="153"/>
    </row>
    <row r="1235" spans="2:14" ht="20">
      <c r="B1235" s="153"/>
      <c r="C1235" s="153"/>
      <c r="D1235" s="153"/>
      <c r="E1235" s="153"/>
      <c r="F1235" s="153"/>
      <c r="G1235" s="153"/>
      <c r="H1235" s="153"/>
      <c r="I1235" s="153"/>
      <c r="J1235" s="153"/>
      <c r="K1235" s="153"/>
      <c r="L1235" s="153"/>
      <c r="M1235" s="153"/>
      <c r="N1235" s="153"/>
    </row>
    <row r="1236" spans="2:14" ht="20">
      <c r="B1236" s="153"/>
      <c r="C1236" s="153"/>
      <c r="D1236" s="153"/>
      <c r="E1236" s="153"/>
      <c r="F1236" s="153"/>
      <c r="G1236" s="153"/>
      <c r="H1236" s="153"/>
      <c r="I1236" s="153"/>
      <c r="J1236" s="153"/>
      <c r="K1236" s="153"/>
      <c r="L1236" s="153"/>
      <c r="M1236" s="153"/>
      <c r="N1236" s="153"/>
    </row>
    <row r="1237" spans="2:14" ht="20">
      <c r="B1237" s="153"/>
      <c r="C1237" s="153"/>
      <c r="D1237" s="153"/>
      <c r="E1237" s="153"/>
      <c r="F1237" s="153"/>
      <c r="G1237" s="153"/>
      <c r="H1237" s="153"/>
      <c r="I1237" s="153"/>
      <c r="J1237" s="153"/>
      <c r="K1237" s="153"/>
      <c r="L1237" s="153"/>
      <c r="M1237" s="153"/>
      <c r="N1237" s="153"/>
    </row>
    <row r="1238" spans="2:14" ht="20">
      <c r="B1238" s="153"/>
      <c r="C1238" s="153"/>
      <c r="D1238" s="153"/>
      <c r="E1238" s="153"/>
      <c r="F1238" s="153"/>
      <c r="G1238" s="153"/>
      <c r="H1238" s="153"/>
      <c r="I1238" s="153"/>
      <c r="J1238" s="153"/>
      <c r="K1238" s="153"/>
      <c r="L1238" s="153"/>
      <c r="M1238" s="153"/>
      <c r="N1238" s="153"/>
    </row>
    <row r="1239" spans="2:14" ht="20">
      <c r="B1239" s="153"/>
      <c r="C1239" s="153"/>
      <c r="D1239" s="153"/>
      <c r="E1239" s="153"/>
      <c r="F1239" s="153"/>
      <c r="G1239" s="153"/>
      <c r="H1239" s="153"/>
      <c r="I1239" s="153"/>
      <c r="J1239" s="153"/>
      <c r="K1239" s="153"/>
      <c r="L1239" s="153"/>
      <c r="M1239" s="153"/>
      <c r="N1239" s="153"/>
    </row>
    <row r="1240" spans="2:14" ht="20">
      <c r="B1240" s="153"/>
      <c r="C1240" s="153"/>
      <c r="D1240" s="153"/>
      <c r="E1240" s="153"/>
      <c r="F1240" s="153"/>
      <c r="G1240" s="153"/>
      <c r="H1240" s="153"/>
      <c r="I1240" s="153"/>
      <c r="J1240" s="153"/>
      <c r="K1240" s="153"/>
      <c r="L1240" s="153"/>
      <c r="M1240" s="153"/>
      <c r="N1240" s="153"/>
    </row>
    <row r="1241" spans="2:14" ht="20">
      <c r="B1241" s="153"/>
      <c r="C1241" s="153"/>
      <c r="D1241" s="153"/>
      <c r="E1241" s="153"/>
      <c r="F1241" s="153"/>
      <c r="G1241" s="153"/>
      <c r="H1241" s="153"/>
      <c r="I1241" s="153"/>
      <c r="J1241" s="153"/>
      <c r="K1241" s="153"/>
      <c r="L1241" s="153"/>
      <c r="M1241" s="153"/>
      <c r="N1241" s="153"/>
    </row>
    <row r="1242" spans="2:14" ht="20">
      <c r="B1242" s="153"/>
      <c r="C1242" s="153"/>
      <c r="D1242" s="153"/>
      <c r="E1242" s="153"/>
      <c r="F1242" s="153"/>
      <c r="G1242" s="153"/>
      <c r="H1242" s="153"/>
      <c r="I1242" s="153"/>
      <c r="J1242" s="153"/>
      <c r="K1242" s="153"/>
      <c r="L1242" s="153"/>
      <c r="M1242" s="153"/>
      <c r="N1242" s="153"/>
    </row>
    <row r="1243" spans="2:14" ht="20">
      <c r="B1243" s="153"/>
      <c r="C1243" s="153"/>
      <c r="D1243" s="153"/>
      <c r="E1243" s="153"/>
      <c r="F1243" s="153"/>
      <c r="G1243" s="153"/>
      <c r="H1243" s="153"/>
      <c r="I1243" s="153"/>
      <c r="J1243" s="153"/>
      <c r="K1243" s="153"/>
      <c r="L1243" s="153"/>
      <c r="M1243" s="153"/>
      <c r="N1243" s="153"/>
    </row>
    <row r="1244" spans="2:14" ht="20">
      <c r="B1244" s="153"/>
      <c r="C1244" s="153"/>
      <c r="D1244" s="153"/>
      <c r="E1244" s="153"/>
      <c r="F1244" s="153"/>
      <c r="G1244" s="153"/>
      <c r="H1244" s="153"/>
      <c r="I1244" s="153"/>
      <c r="J1244" s="153"/>
      <c r="K1244" s="153"/>
      <c r="L1244" s="153"/>
      <c r="M1244" s="153"/>
      <c r="N1244" s="153"/>
    </row>
    <row r="1245" spans="2:14" ht="20">
      <c r="B1245" s="153"/>
      <c r="C1245" s="153"/>
      <c r="D1245" s="153"/>
      <c r="E1245" s="153"/>
      <c r="F1245" s="153"/>
      <c r="G1245" s="153"/>
      <c r="H1245" s="153"/>
      <c r="I1245" s="153"/>
      <c r="J1245" s="153"/>
      <c r="K1245" s="153"/>
      <c r="L1245" s="153"/>
      <c r="M1245" s="153"/>
      <c r="N1245" s="153"/>
    </row>
    <row r="1246" spans="2:14" ht="20">
      <c r="B1246" s="153"/>
      <c r="C1246" s="153"/>
      <c r="D1246" s="153"/>
      <c r="E1246" s="153"/>
      <c r="F1246" s="153"/>
      <c r="G1246" s="153"/>
      <c r="H1246" s="153"/>
      <c r="I1246" s="153"/>
      <c r="J1246" s="153"/>
      <c r="K1246" s="153"/>
      <c r="L1246" s="153"/>
      <c r="M1246" s="153"/>
      <c r="N1246" s="153"/>
    </row>
    <row r="1247" spans="2:14" ht="20">
      <c r="B1247" s="153"/>
      <c r="C1247" s="153"/>
      <c r="D1247" s="153"/>
      <c r="E1247" s="153"/>
      <c r="F1247" s="153"/>
      <c r="G1247" s="153"/>
      <c r="H1247" s="153"/>
      <c r="I1247" s="153"/>
      <c r="J1247" s="153"/>
      <c r="K1247" s="153"/>
      <c r="L1247" s="153"/>
      <c r="M1247" s="153"/>
      <c r="N1247" s="153"/>
    </row>
    <row r="1248" spans="2:14" ht="20">
      <c r="B1248" s="153"/>
      <c r="C1248" s="153"/>
      <c r="D1248" s="153"/>
      <c r="E1248" s="153"/>
      <c r="F1248" s="153"/>
      <c r="G1248" s="153"/>
      <c r="H1248" s="153"/>
      <c r="I1248" s="153"/>
      <c r="J1248" s="153"/>
      <c r="K1248" s="153"/>
      <c r="L1248" s="153"/>
      <c r="M1248" s="153"/>
      <c r="N1248" s="153"/>
    </row>
    <row r="1249" spans="2:14" ht="20">
      <c r="B1249" s="153"/>
      <c r="C1249" s="153"/>
      <c r="D1249" s="153"/>
      <c r="E1249" s="153"/>
      <c r="F1249" s="153"/>
      <c r="G1249" s="153"/>
      <c r="H1249" s="153"/>
      <c r="I1249" s="153"/>
      <c r="J1249" s="153"/>
      <c r="K1249" s="153"/>
      <c r="L1249" s="153"/>
      <c r="M1249" s="153"/>
      <c r="N1249" s="153"/>
    </row>
    <row r="1250" spans="2:14" ht="20">
      <c r="B1250" s="153"/>
      <c r="C1250" s="153"/>
      <c r="D1250" s="153"/>
      <c r="E1250" s="153"/>
      <c r="F1250" s="153"/>
      <c r="G1250" s="153"/>
      <c r="H1250" s="153"/>
      <c r="I1250" s="153"/>
      <c r="J1250" s="153"/>
      <c r="K1250" s="153"/>
      <c r="L1250" s="153"/>
      <c r="M1250" s="153"/>
      <c r="N1250" s="153"/>
    </row>
    <row r="1251" spans="2:14" ht="20">
      <c r="B1251" s="153"/>
      <c r="C1251" s="153"/>
      <c r="D1251" s="153"/>
      <c r="E1251" s="153"/>
      <c r="F1251" s="153"/>
      <c r="G1251" s="153"/>
      <c r="H1251" s="153"/>
      <c r="I1251" s="153"/>
      <c r="J1251" s="153"/>
      <c r="K1251" s="153"/>
      <c r="L1251" s="153"/>
      <c r="M1251" s="153"/>
      <c r="N1251" s="153"/>
    </row>
    <row r="1252" spans="2:14" ht="20">
      <c r="B1252" s="153"/>
      <c r="C1252" s="153"/>
      <c r="D1252" s="153"/>
      <c r="E1252" s="153"/>
      <c r="F1252" s="153"/>
      <c r="G1252" s="153"/>
      <c r="H1252" s="153"/>
      <c r="I1252" s="153"/>
      <c r="J1252" s="153"/>
      <c r="K1252" s="153"/>
      <c r="L1252" s="153"/>
      <c r="M1252" s="153"/>
      <c r="N1252" s="153"/>
    </row>
    <row r="1253" spans="2:14" ht="20">
      <c r="B1253" s="153"/>
      <c r="C1253" s="153"/>
      <c r="D1253" s="153"/>
      <c r="E1253" s="153"/>
      <c r="F1253" s="153"/>
      <c r="G1253" s="153"/>
      <c r="H1253" s="153"/>
      <c r="I1253" s="153"/>
      <c r="J1253" s="153"/>
      <c r="K1253" s="153"/>
      <c r="L1253" s="153"/>
      <c r="M1253" s="153"/>
      <c r="N1253" s="153"/>
    </row>
    <row r="1254" spans="2:14" ht="20">
      <c r="B1254" s="153"/>
      <c r="C1254" s="153"/>
      <c r="D1254" s="153"/>
      <c r="E1254" s="153"/>
      <c r="F1254" s="153"/>
      <c r="G1254" s="153"/>
      <c r="H1254" s="153"/>
      <c r="I1254" s="153"/>
      <c r="J1254" s="153"/>
      <c r="K1254" s="153"/>
      <c r="L1254" s="153"/>
      <c r="M1254" s="153"/>
      <c r="N1254" s="153"/>
    </row>
    <row r="1255" spans="2:14" ht="20">
      <c r="B1255" s="153"/>
      <c r="C1255" s="153"/>
      <c r="D1255" s="153"/>
      <c r="E1255" s="153"/>
      <c r="F1255" s="153"/>
      <c r="G1255" s="153"/>
      <c r="H1255" s="153"/>
      <c r="I1255" s="153"/>
      <c r="J1255" s="153"/>
      <c r="K1255" s="153"/>
      <c r="L1255" s="153"/>
      <c r="M1255" s="153"/>
      <c r="N1255" s="153"/>
    </row>
    <row r="1256" spans="2:14" ht="20">
      <c r="B1256" s="153"/>
      <c r="C1256" s="153"/>
      <c r="D1256" s="153"/>
      <c r="E1256" s="153"/>
      <c r="F1256" s="153"/>
      <c r="G1256" s="153"/>
      <c r="H1256" s="153"/>
      <c r="I1256" s="153"/>
      <c r="J1256" s="153"/>
      <c r="K1256" s="153"/>
      <c r="L1256" s="153"/>
      <c r="M1256" s="153"/>
      <c r="N1256" s="153"/>
    </row>
    <row r="1257" spans="2:14" ht="20">
      <c r="B1257" s="153"/>
      <c r="C1257" s="153"/>
      <c r="D1257" s="153"/>
      <c r="E1257" s="153"/>
      <c r="F1257" s="153"/>
      <c r="G1257" s="153"/>
      <c r="H1257" s="153"/>
      <c r="I1257" s="153"/>
      <c r="J1257" s="153"/>
      <c r="K1257" s="153"/>
      <c r="L1257" s="153"/>
      <c r="M1257" s="153"/>
      <c r="N1257" s="153"/>
    </row>
    <row r="1258" spans="2:14" ht="20">
      <c r="B1258" s="153"/>
      <c r="C1258" s="153"/>
      <c r="D1258" s="153"/>
      <c r="E1258" s="153"/>
      <c r="F1258" s="153"/>
      <c r="G1258" s="153"/>
      <c r="H1258" s="153"/>
      <c r="I1258" s="153"/>
      <c r="J1258" s="153"/>
      <c r="K1258" s="153"/>
      <c r="L1258" s="153"/>
      <c r="M1258" s="153"/>
      <c r="N1258" s="153"/>
    </row>
    <row r="1259" spans="2:14" ht="20">
      <c r="B1259" s="153"/>
      <c r="C1259" s="153"/>
      <c r="D1259" s="153"/>
      <c r="E1259" s="153"/>
      <c r="F1259" s="153"/>
      <c r="G1259" s="153"/>
      <c r="H1259" s="153"/>
      <c r="I1259" s="153"/>
      <c r="J1259" s="153"/>
      <c r="K1259" s="153"/>
      <c r="L1259" s="153"/>
      <c r="M1259" s="153"/>
      <c r="N1259" s="153"/>
    </row>
    <row r="1260" spans="2:14" ht="20">
      <c r="B1260" s="153"/>
      <c r="C1260" s="153"/>
      <c r="D1260" s="153"/>
      <c r="E1260" s="153"/>
      <c r="F1260" s="153"/>
      <c r="G1260" s="153"/>
      <c r="H1260" s="153"/>
      <c r="I1260" s="153"/>
      <c r="J1260" s="153"/>
      <c r="K1260" s="153"/>
      <c r="L1260" s="153"/>
      <c r="M1260" s="153"/>
      <c r="N1260" s="153"/>
    </row>
    <row r="1261" spans="2:14" ht="20">
      <c r="B1261" s="153"/>
      <c r="C1261" s="153"/>
      <c r="D1261" s="153"/>
      <c r="E1261" s="153"/>
      <c r="F1261" s="153"/>
      <c r="G1261" s="153"/>
      <c r="H1261" s="153"/>
      <c r="I1261" s="153"/>
      <c r="J1261" s="153"/>
      <c r="K1261" s="153"/>
      <c r="L1261" s="153"/>
      <c r="M1261" s="153"/>
      <c r="N1261" s="153"/>
    </row>
    <row r="1262" spans="2:14" ht="20">
      <c r="B1262" s="153"/>
      <c r="C1262" s="153"/>
      <c r="D1262" s="153"/>
      <c r="E1262" s="153"/>
      <c r="F1262" s="153"/>
      <c r="G1262" s="153"/>
      <c r="H1262" s="153"/>
      <c r="I1262" s="153"/>
      <c r="J1262" s="153"/>
      <c r="K1262" s="153"/>
      <c r="L1262" s="153"/>
      <c r="M1262" s="153"/>
      <c r="N1262" s="153"/>
    </row>
    <row r="1263" spans="2:14" ht="20">
      <c r="B1263" s="153"/>
      <c r="C1263" s="153"/>
      <c r="D1263" s="153"/>
      <c r="E1263" s="153"/>
      <c r="F1263" s="153"/>
      <c r="G1263" s="153"/>
      <c r="H1263" s="153"/>
      <c r="I1263" s="153"/>
      <c r="J1263" s="153"/>
      <c r="K1263" s="153"/>
      <c r="L1263" s="153"/>
      <c r="M1263" s="153"/>
      <c r="N1263" s="153"/>
    </row>
    <row r="1264" spans="2:14" ht="20">
      <c r="B1264" s="153"/>
      <c r="C1264" s="153"/>
      <c r="D1264" s="153"/>
      <c r="E1264" s="153"/>
      <c r="F1264" s="153"/>
      <c r="G1264" s="153"/>
      <c r="H1264" s="153"/>
      <c r="I1264" s="153"/>
      <c r="J1264" s="153"/>
      <c r="K1264" s="153"/>
      <c r="L1264" s="153"/>
      <c r="M1264" s="153"/>
      <c r="N1264" s="153"/>
    </row>
    <row r="1265" spans="2:14" ht="20">
      <c r="B1265" s="153"/>
      <c r="C1265" s="153"/>
      <c r="D1265" s="153"/>
      <c r="E1265" s="153"/>
      <c r="F1265" s="153"/>
      <c r="G1265" s="153"/>
      <c r="H1265" s="153"/>
      <c r="I1265" s="153"/>
      <c r="J1265" s="153"/>
      <c r="K1265" s="153"/>
      <c r="L1265" s="153"/>
      <c r="M1265" s="153"/>
      <c r="N1265" s="153"/>
    </row>
    <row r="1266" spans="2:14" ht="20">
      <c r="B1266" s="153"/>
      <c r="C1266" s="153"/>
      <c r="D1266" s="153"/>
      <c r="E1266" s="153"/>
      <c r="F1266" s="153"/>
      <c r="G1266" s="153"/>
      <c r="H1266" s="153"/>
      <c r="I1266" s="153"/>
      <c r="J1266" s="153"/>
      <c r="K1266" s="153"/>
      <c r="L1266" s="153"/>
      <c r="M1266" s="153"/>
      <c r="N1266" s="153"/>
    </row>
    <row r="1267" spans="2:14" ht="20">
      <c r="B1267" s="153"/>
      <c r="C1267" s="153"/>
      <c r="D1267" s="153"/>
      <c r="E1267" s="153"/>
      <c r="F1267" s="153"/>
      <c r="G1267" s="153"/>
      <c r="H1267" s="153"/>
      <c r="I1267" s="153"/>
      <c r="J1267" s="153"/>
      <c r="K1267" s="153"/>
      <c r="L1267" s="153"/>
      <c r="M1267" s="153"/>
      <c r="N1267" s="153"/>
    </row>
    <row r="1268" spans="2:14" ht="20">
      <c r="B1268" s="153"/>
      <c r="C1268" s="153"/>
      <c r="D1268" s="153"/>
      <c r="E1268" s="153"/>
      <c r="F1268" s="153"/>
      <c r="G1268" s="153"/>
      <c r="H1268" s="153"/>
      <c r="I1268" s="153"/>
      <c r="J1268" s="153"/>
      <c r="K1268" s="153"/>
      <c r="L1268" s="153"/>
      <c r="M1268" s="153"/>
      <c r="N1268" s="153"/>
    </row>
    <row r="1269" spans="2:14" ht="20">
      <c r="B1269" s="153"/>
      <c r="C1269" s="153"/>
      <c r="D1269" s="153"/>
      <c r="E1269" s="153"/>
      <c r="F1269" s="153"/>
      <c r="G1269" s="153"/>
      <c r="H1269" s="153"/>
      <c r="I1269" s="153"/>
      <c r="J1269" s="153"/>
      <c r="K1269" s="153"/>
      <c r="L1269" s="153"/>
      <c r="M1269" s="153"/>
      <c r="N1269" s="153"/>
    </row>
    <row r="1270" spans="2:14" ht="20">
      <c r="B1270" s="153"/>
      <c r="C1270" s="153"/>
      <c r="D1270" s="153"/>
      <c r="E1270" s="153"/>
      <c r="F1270" s="153"/>
      <c r="G1270" s="153"/>
      <c r="H1270" s="153"/>
      <c r="I1270" s="153"/>
      <c r="J1270" s="153"/>
      <c r="K1270" s="153"/>
      <c r="L1270" s="153"/>
      <c r="M1270" s="153"/>
      <c r="N1270" s="153"/>
    </row>
    <row r="1271" spans="2:14" ht="20">
      <c r="B1271" s="153"/>
      <c r="C1271" s="153"/>
      <c r="D1271" s="153"/>
      <c r="E1271" s="153"/>
      <c r="F1271" s="153"/>
      <c r="G1271" s="153"/>
      <c r="H1271" s="153"/>
      <c r="I1271" s="153"/>
      <c r="J1271" s="153"/>
      <c r="K1271" s="153"/>
      <c r="L1271" s="153"/>
      <c r="M1271" s="153"/>
      <c r="N1271" s="153"/>
    </row>
    <row r="1272" spans="2:14" ht="20">
      <c r="B1272" s="153"/>
      <c r="C1272" s="153"/>
      <c r="D1272" s="153"/>
      <c r="E1272" s="153"/>
      <c r="F1272" s="153"/>
      <c r="G1272" s="153"/>
      <c r="H1272" s="153"/>
      <c r="I1272" s="153"/>
      <c r="J1272" s="153"/>
      <c r="K1272" s="153"/>
      <c r="L1272" s="153"/>
      <c r="M1272" s="153"/>
      <c r="N1272" s="153"/>
    </row>
    <row r="1273" spans="2:14" ht="20">
      <c r="B1273" s="153"/>
      <c r="C1273" s="153"/>
      <c r="D1273" s="153"/>
      <c r="E1273" s="153"/>
      <c r="F1273" s="153"/>
      <c r="G1273" s="153"/>
      <c r="H1273" s="153"/>
      <c r="I1273" s="153"/>
      <c r="J1273" s="153"/>
      <c r="K1273" s="153"/>
      <c r="L1273" s="153"/>
      <c r="M1273" s="153"/>
      <c r="N1273" s="153"/>
    </row>
    <row r="1274" spans="2:14" ht="20">
      <c r="B1274" s="153"/>
      <c r="C1274" s="153"/>
      <c r="D1274" s="153"/>
      <c r="E1274" s="153"/>
      <c r="F1274" s="153"/>
      <c r="G1274" s="153"/>
      <c r="H1274" s="153"/>
      <c r="I1274" s="153"/>
      <c r="J1274" s="153"/>
      <c r="K1274" s="153"/>
      <c r="L1274" s="153"/>
      <c r="M1274" s="153"/>
      <c r="N1274" s="153"/>
    </row>
    <row r="1275" spans="2:14" ht="20">
      <c r="B1275" s="153"/>
      <c r="C1275" s="153"/>
      <c r="D1275" s="153"/>
      <c r="E1275" s="153"/>
      <c r="F1275" s="153"/>
      <c r="G1275" s="153"/>
      <c r="H1275" s="153"/>
      <c r="I1275" s="153"/>
      <c r="J1275" s="153"/>
      <c r="K1275" s="153"/>
      <c r="L1275" s="153"/>
      <c r="M1275" s="153"/>
      <c r="N1275" s="153"/>
    </row>
    <row r="1276" spans="2:14" ht="20">
      <c r="B1276" s="153"/>
      <c r="C1276" s="153"/>
      <c r="D1276" s="153"/>
      <c r="E1276" s="153"/>
      <c r="F1276" s="153"/>
      <c r="G1276" s="153"/>
      <c r="H1276" s="153"/>
      <c r="I1276" s="153"/>
      <c r="J1276" s="153"/>
      <c r="K1276" s="153"/>
      <c r="L1276" s="153"/>
      <c r="M1276" s="153"/>
      <c r="N1276" s="153"/>
    </row>
    <row r="1277" spans="2:14" ht="20">
      <c r="B1277" s="153"/>
      <c r="C1277" s="153"/>
      <c r="D1277" s="153"/>
      <c r="E1277" s="153"/>
      <c r="F1277" s="153"/>
      <c r="G1277" s="153"/>
      <c r="H1277" s="153"/>
      <c r="I1277" s="153"/>
      <c r="J1277" s="153"/>
      <c r="K1277" s="153"/>
      <c r="L1277" s="153"/>
      <c r="M1277" s="153"/>
      <c r="N1277" s="153"/>
    </row>
    <row r="1278" spans="2:14" ht="20">
      <c r="B1278" s="153"/>
      <c r="C1278" s="153"/>
      <c r="D1278" s="153"/>
      <c r="E1278" s="153"/>
      <c r="F1278" s="153"/>
      <c r="G1278" s="153"/>
      <c r="H1278" s="153"/>
      <c r="I1278" s="153"/>
      <c r="J1278" s="153"/>
      <c r="K1278" s="153"/>
      <c r="L1278" s="153"/>
      <c r="M1278" s="153"/>
      <c r="N1278" s="153"/>
    </row>
    <row r="1279" spans="2:14" ht="20">
      <c r="B1279" s="153"/>
      <c r="C1279" s="153"/>
      <c r="D1279" s="153"/>
      <c r="E1279" s="153"/>
      <c r="F1279" s="153"/>
      <c r="G1279" s="153"/>
      <c r="H1279" s="153"/>
      <c r="I1279" s="153"/>
      <c r="J1279" s="153"/>
      <c r="K1279" s="153"/>
      <c r="L1279" s="153"/>
      <c r="M1279" s="153"/>
      <c r="N1279" s="153"/>
    </row>
    <row r="1280" spans="2:14" ht="20">
      <c r="B1280" s="153"/>
      <c r="C1280" s="153"/>
      <c r="D1280" s="153"/>
      <c r="E1280" s="153"/>
      <c r="F1280" s="153"/>
      <c r="G1280" s="153"/>
      <c r="H1280" s="153"/>
      <c r="I1280" s="153"/>
      <c r="J1280" s="153"/>
      <c r="K1280" s="153"/>
      <c r="L1280" s="153"/>
      <c r="M1280" s="153"/>
      <c r="N1280" s="153"/>
    </row>
    <row r="1281" spans="2:14" ht="20">
      <c r="B1281" s="153"/>
      <c r="C1281" s="153"/>
      <c r="D1281" s="153"/>
      <c r="E1281" s="153"/>
      <c r="F1281" s="153"/>
      <c r="G1281" s="153"/>
      <c r="H1281" s="153"/>
      <c r="I1281" s="153"/>
      <c r="J1281" s="153"/>
      <c r="K1281" s="153"/>
      <c r="L1281" s="153"/>
      <c r="M1281" s="153"/>
      <c r="N1281" s="153"/>
    </row>
    <row r="1282" spans="2:14" ht="20">
      <c r="B1282" s="153"/>
      <c r="C1282" s="153"/>
      <c r="D1282" s="153"/>
      <c r="E1282" s="153"/>
      <c r="F1282" s="153"/>
      <c r="G1282" s="153"/>
      <c r="H1282" s="153"/>
      <c r="I1282" s="153"/>
      <c r="J1282" s="153"/>
      <c r="K1282" s="153"/>
      <c r="L1282" s="153"/>
      <c r="M1282" s="153"/>
      <c r="N1282" s="153"/>
    </row>
    <row r="1283" spans="2:14" ht="20">
      <c r="B1283" s="153"/>
      <c r="C1283" s="153"/>
      <c r="D1283" s="153"/>
      <c r="E1283" s="153"/>
      <c r="F1283" s="153"/>
      <c r="G1283" s="153"/>
      <c r="H1283" s="153"/>
      <c r="I1283" s="153"/>
      <c r="J1283" s="153"/>
      <c r="K1283" s="153"/>
      <c r="L1283" s="153"/>
      <c r="M1283" s="153"/>
      <c r="N1283" s="153"/>
    </row>
    <row r="1284" spans="2:14" ht="20">
      <c r="B1284" s="153"/>
      <c r="C1284" s="153"/>
      <c r="D1284" s="153"/>
      <c r="E1284" s="153"/>
      <c r="F1284" s="153"/>
      <c r="G1284" s="153"/>
      <c r="H1284" s="153"/>
      <c r="I1284" s="153"/>
      <c r="J1284" s="153"/>
      <c r="K1284" s="153"/>
      <c r="L1284" s="153"/>
      <c r="M1284" s="153"/>
      <c r="N1284" s="153"/>
    </row>
    <row r="1285" spans="2:14" ht="20">
      <c r="B1285" s="153"/>
      <c r="C1285" s="153"/>
      <c r="D1285" s="153"/>
      <c r="E1285" s="153"/>
      <c r="F1285" s="153"/>
      <c r="G1285" s="153"/>
      <c r="H1285" s="153"/>
      <c r="I1285" s="153"/>
      <c r="J1285" s="153"/>
      <c r="K1285" s="153"/>
      <c r="L1285" s="153"/>
      <c r="M1285" s="153"/>
      <c r="N1285" s="153"/>
    </row>
    <row r="1286" spans="2:14" ht="20">
      <c r="B1286" s="153"/>
      <c r="C1286" s="153"/>
      <c r="D1286" s="153"/>
      <c r="E1286" s="153"/>
      <c r="F1286" s="153"/>
      <c r="G1286" s="153"/>
      <c r="H1286" s="153"/>
      <c r="I1286" s="153"/>
      <c r="J1286" s="153"/>
      <c r="K1286" s="153"/>
      <c r="L1286" s="153"/>
      <c r="M1286" s="153"/>
      <c r="N1286" s="153"/>
    </row>
    <row r="1287" spans="2:14" ht="20">
      <c r="B1287" s="153"/>
      <c r="C1287" s="153"/>
      <c r="D1287" s="153"/>
      <c r="E1287" s="153"/>
      <c r="F1287" s="153"/>
      <c r="G1287" s="153"/>
      <c r="H1287" s="153"/>
      <c r="I1287" s="153"/>
      <c r="J1287" s="153"/>
      <c r="K1287" s="153"/>
      <c r="L1287" s="153"/>
      <c r="M1287" s="153"/>
      <c r="N1287" s="153"/>
    </row>
    <row r="1288" spans="2:14" ht="20">
      <c r="B1288" s="153"/>
      <c r="C1288" s="153"/>
      <c r="D1288" s="153"/>
      <c r="E1288" s="153"/>
      <c r="F1288" s="153"/>
      <c r="G1288" s="153"/>
      <c r="H1288" s="153"/>
      <c r="I1288" s="153"/>
      <c r="J1288" s="153"/>
      <c r="K1288" s="153"/>
      <c r="L1288" s="153"/>
      <c r="M1288" s="153"/>
      <c r="N1288" s="153"/>
    </row>
    <row r="1289" spans="2:14" ht="20">
      <c r="B1289" s="153"/>
      <c r="C1289" s="153"/>
      <c r="D1289" s="153"/>
      <c r="E1289" s="153"/>
      <c r="F1289" s="153"/>
      <c r="G1289" s="153"/>
      <c r="H1289" s="153"/>
      <c r="I1289" s="153"/>
      <c r="J1289" s="153"/>
      <c r="K1289" s="153"/>
      <c r="L1289" s="153"/>
      <c r="M1289" s="153"/>
      <c r="N1289" s="153"/>
    </row>
    <row r="1290" spans="2:14" ht="20">
      <c r="B1290" s="153"/>
      <c r="C1290" s="153"/>
      <c r="D1290" s="153"/>
      <c r="E1290" s="153"/>
      <c r="F1290" s="153"/>
      <c r="G1290" s="153"/>
      <c r="H1290" s="153"/>
      <c r="I1290" s="153"/>
      <c r="J1290" s="153"/>
      <c r="K1290" s="153"/>
      <c r="L1290" s="153"/>
      <c r="M1290" s="153"/>
      <c r="N1290" s="153"/>
    </row>
    <row r="1291" spans="2:14" ht="20">
      <c r="B1291" s="153"/>
      <c r="C1291" s="153"/>
      <c r="D1291" s="153"/>
      <c r="E1291" s="153"/>
      <c r="F1291" s="153"/>
      <c r="G1291" s="153"/>
      <c r="H1291" s="153"/>
      <c r="I1291" s="153"/>
      <c r="J1291" s="153"/>
      <c r="K1291" s="153"/>
      <c r="L1291" s="153"/>
      <c r="M1291" s="153"/>
      <c r="N1291" s="153"/>
    </row>
    <row r="1292" spans="2:14" ht="20">
      <c r="B1292" s="153"/>
      <c r="C1292" s="153"/>
      <c r="D1292" s="153"/>
      <c r="E1292" s="153"/>
      <c r="F1292" s="153"/>
      <c r="G1292" s="153"/>
      <c r="H1292" s="153"/>
      <c r="I1292" s="153"/>
      <c r="J1292" s="153"/>
      <c r="K1292" s="153"/>
      <c r="L1292" s="153"/>
      <c r="M1292" s="153"/>
      <c r="N1292" s="153"/>
    </row>
    <row r="1293" spans="2:14" ht="20">
      <c r="B1293" s="153"/>
      <c r="C1293" s="153"/>
      <c r="D1293" s="153"/>
      <c r="E1293" s="153"/>
      <c r="F1293" s="153"/>
      <c r="G1293" s="153"/>
      <c r="H1293" s="153"/>
      <c r="I1293" s="153"/>
      <c r="J1293" s="153"/>
      <c r="K1293" s="153"/>
      <c r="L1293" s="153"/>
      <c r="M1293" s="153"/>
      <c r="N1293" s="153"/>
    </row>
    <row r="1294" spans="2:14" ht="20">
      <c r="B1294" s="153"/>
      <c r="C1294" s="153"/>
      <c r="D1294" s="153"/>
      <c r="E1294" s="153"/>
      <c r="F1294" s="153"/>
      <c r="G1294" s="153"/>
      <c r="H1294" s="153"/>
      <c r="I1294" s="153"/>
      <c r="J1294" s="153"/>
      <c r="K1294" s="153"/>
      <c r="L1294" s="153"/>
      <c r="M1294" s="153"/>
      <c r="N1294" s="153"/>
    </row>
    <row r="1295" spans="2:14" ht="20">
      <c r="B1295" s="153"/>
      <c r="C1295" s="153"/>
      <c r="D1295" s="153"/>
      <c r="E1295" s="153"/>
      <c r="F1295" s="153"/>
      <c r="G1295" s="153"/>
      <c r="H1295" s="153"/>
      <c r="I1295" s="153"/>
      <c r="J1295" s="153"/>
      <c r="K1295" s="153"/>
      <c r="L1295" s="153"/>
      <c r="M1295" s="153"/>
      <c r="N1295" s="153"/>
    </row>
    <row r="1296" spans="2:14" ht="20">
      <c r="B1296" s="153"/>
      <c r="C1296" s="153"/>
      <c r="D1296" s="153"/>
      <c r="E1296" s="153"/>
      <c r="F1296" s="153"/>
      <c r="G1296" s="153"/>
      <c r="H1296" s="153"/>
      <c r="I1296" s="153"/>
      <c r="J1296" s="153"/>
      <c r="K1296" s="153"/>
      <c r="L1296" s="153"/>
      <c r="M1296" s="153"/>
      <c r="N1296" s="153"/>
    </row>
    <row r="1297" spans="2:14" ht="20">
      <c r="B1297" s="153"/>
      <c r="C1297" s="153"/>
      <c r="D1297" s="153"/>
      <c r="E1297" s="153"/>
      <c r="F1297" s="153"/>
      <c r="G1297" s="153"/>
      <c r="H1297" s="153"/>
      <c r="I1297" s="153"/>
      <c r="J1297" s="153"/>
      <c r="K1297" s="153"/>
      <c r="L1297" s="153"/>
      <c r="M1297" s="153"/>
      <c r="N1297" s="153"/>
    </row>
    <row r="1298" spans="2:14" ht="20">
      <c r="B1298" s="153"/>
      <c r="C1298" s="153"/>
      <c r="D1298" s="153"/>
      <c r="E1298" s="153"/>
      <c r="F1298" s="153"/>
      <c r="G1298" s="153"/>
      <c r="H1298" s="153"/>
      <c r="I1298" s="153"/>
      <c r="J1298" s="153"/>
      <c r="K1298" s="153"/>
      <c r="L1298" s="153"/>
      <c r="M1298" s="153"/>
      <c r="N1298" s="153"/>
    </row>
    <row r="1299" spans="2:14" ht="20">
      <c r="B1299" s="153"/>
      <c r="C1299" s="153"/>
      <c r="D1299" s="153"/>
      <c r="E1299" s="153"/>
      <c r="F1299" s="153"/>
      <c r="G1299" s="153"/>
      <c r="H1299" s="153"/>
      <c r="I1299" s="153"/>
      <c r="J1299" s="153"/>
      <c r="K1299" s="153"/>
      <c r="L1299" s="153"/>
      <c r="M1299" s="153"/>
      <c r="N1299" s="153"/>
    </row>
    <row r="1300" spans="2:14" ht="20">
      <c r="B1300" s="153"/>
      <c r="C1300" s="153"/>
      <c r="D1300" s="153"/>
      <c r="E1300" s="153"/>
      <c r="F1300" s="153"/>
      <c r="G1300" s="153"/>
      <c r="H1300" s="153"/>
      <c r="I1300" s="153"/>
      <c r="J1300" s="153"/>
      <c r="K1300" s="153"/>
      <c r="L1300" s="153"/>
      <c r="M1300" s="153"/>
      <c r="N1300" s="153"/>
    </row>
    <row r="1301" spans="2:14" ht="20">
      <c r="B1301" s="153"/>
      <c r="C1301" s="153"/>
      <c r="D1301" s="153"/>
      <c r="E1301" s="153"/>
      <c r="F1301" s="153"/>
      <c r="G1301" s="153"/>
      <c r="H1301" s="153"/>
      <c r="I1301" s="153"/>
      <c r="J1301" s="153"/>
      <c r="K1301" s="153"/>
      <c r="L1301" s="153"/>
      <c r="M1301" s="153"/>
      <c r="N1301" s="153"/>
    </row>
    <row r="1302" spans="2:14" ht="20">
      <c r="B1302" s="153"/>
      <c r="C1302" s="153"/>
      <c r="D1302" s="153"/>
      <c r="E1302" s="153"/>
      <c r="F1302" s="153"/>
      <c r="G1302" s="153"/>
      <c r="H1302" s="153"/>
      <c r="I1302" s="153"/>
      <c r="J1302" s="153"/>
      <c r="K1302" s="153"/>
      <c r="L1302" s="153"/>
      <c r="M1302" s="153"/>
      <c r="N1302" s="153"/>
    </row>
    <row r="1303" spans="2:14" ht="20">
      <c r="B1303" s="153"/>
      <c r="C1303" s="153"/>
      <c r="D1303" s="153"/>
      <c r="E1303" s="153"/>
      <c r="F1303" s="153"/>
      <c r="G1303" s="153"/>
      <c r="H1303" s="153"/>
      <c r="I1303" s="153"/>
      <c r="J1303" s="153"/>
      <c r="K1303" s="153"/>
      <c r="L1303" s="153"/>
      <c r="M1303" s="153"/>
      <c r="N1303" s="153"/>
    </row>
    <row r="1304" spans="2:14" ht="20">
      <c r="B1304" s="153"/>
      <c r="C1304" s="153"/>
      <c r="D1304" s="153"/>
      <c r="E1304" s="153"/>
      <c r="F1304" s="153"/>
      <c r="G1304" s="153"/>
      <c r="H1304" s="153"/>
      <c r="I1304" s="153"/>
      <c r="J1304" s="153"/>
      <c r="K1304" s="153"/>
      <c r="L1304" s="153"/>
      <c r="M1304" s="153"/>
      <c r="N1304" s="153"/>
    </row>
    <row r="1305" spans="2:14" ht="20">
      <c r="B1305" s="153"/>
      <c r="C1305" s="153"/>
      <c r="D1305" s="153"/>
      <c r="E1305" s="153"/>
      <c r="F1305" s="153"/>
      <c r="G1305" s="153"/>
      <c r="H1305" s="153"/>
      <c r="I1305" s="153"/>
      <c r="J1305" s="153"/>
      <c r="K1305" s="153"/>
      <c r="L1305" s="153"/>
      <c r="M1305" s="153"/>
      <c r="N1305" s="153"/>
    </row>
    <row r="1306" spans="2:14" ht="20">
      <c r="B1306" s="153"/>
      <c r="C1306" s="153"/>
      <c r="D1306" s="153"/>
      <c r="E1306" s="153"/>
      <c r="F1306" s="153"/>
      <c r="G1306" s="153"/>
      <c r="H1306" s="153"/>
      <c r="I1306" s="153"/>
      <c r="J1306" s="153"/>
      <c r="K1306" s="153"/>
      <c r="L1306" s="153"/>
      <c r="M1306" s="153"/>
      <c r="N1306" s="153"/>
    </row>
    <row r="1307" spans="2:14" ht="20">
      <c r="B1307" s="153"/>
      <c r="C1307" s="153"/>
      <c r="D1307" s="153"/>
      <c r="E1307" s="153"/>
      <c r="F1307" s="153"/>
      <c r="G1307" s="153"/>
      <c r="H1307" s="153"/>
      <c r="I1307" s="153"/>
      <c r="J1307" s="153"/>
      <c r="K1307" s="153"/>
      <c r="L1307" s="153"/>
      <c r="M1307" s="153"/>
      <c r="N1307" s="153"/>
    </row>
    <row r="1308" spans="2:14" ht="20">
      <c r="B1308" s="153"/>
      <c r="C1308" s="153"/>
      <c r="D1308" s="153"/>
      <c r="E1308" s="153"/>
      <c r="F1308" s="153"/>
      <c r="G1308" s="153"/>
      <c r="H1308" s="153"/>
      <c r="I1308" s="153"/>
      <c r="J1308" s="153"/>
      <c r="K1308" s="153"/>
      <c r="L1308" s="153"/>
      <c r="M1308" s="153"/>
      <c r="N1308" s="153"/>
    </row>
    <row r="1309" spans="2:14" ht="20">
      <c r="B1309" s="153"/>
      <c r="C1309" s="153"/>
      <c r="D1309" s="153"/>
      <c r="E1309" s="153"/>
      <c r="F1309" s="153"/>
      <c r="G1309" s="153"/>
      <c r="H1309" s="153"/>
      <c r="I1309" s="153"/>
      <c r="J1309" s="153"/>
      <c r="K1309" s="153"/>
      <c r="L1309" s="153"/>
      <c r="M1309" s="153"/>
      <c r="N1309" s="153"/>
    </row>
    <row r="1310" spans="2:14" ht="20">
      <c r="B1310" s="153"/>
      <c r="C1310" s="153"/>
      <c r="D1310" s="153"/>
      <c r="E1310" s="153"/>
      <c r="F1310" s="153"/>
      <c r="G1310" s="153"/>
      <c r="H1310" s="153"/>
      <c r="I1310" s="153"/>
      <c r="J1310" s="153"/>
      <c r="K1310" s="153"/>
      <c r="L1310" s="153"/>
      <c r="M1310" s="153"/>
      <c r="N1310" s="153"/>
    </row>
    <row r="1311" spans="2:14" ht="20">
      <c r="B1311" s="153"/>
      <c r="C1311" s="153"/>
      <c r="D1311" s="153"/>
      <c r="E1311" s="153"/>
      <c r="F1311" s="153"/>
      <c r="G1311" s="153"/>
      <c r="H1311" s="153"/>
      <c r="I1311" s="153"/>
      <c r="J1311" s="153"/>
      <c r="K1311" s="153"/>
      <c r="L1311" s="153"/>
      <c r="M1311" s="153"/>
      <c r="N1311" s="153"/>
    </row>
    <row r="1312" spans="2:14" ht="20">
      <c r="B1312" s="153"/>
      <c r="C1312" s="153"/>
      <c r="D1312" s="153"/>
      <c r="E1312" s="153"/>
      <c r="F1312" s="153"/>
      <c r="G1312" s="153"/>
      <c r="H1312" s="153"/>
      <c r="I1312" s="153"/>
      <c r="J1312" s="153"/>
      <c r="K1312" s="153"/>
      <c r="L1312" s="153"/>
      <c r="M1312" s="153"/>
      <c r="N1312" s="153"/>
    </row>
    <row r="1313" spans="2:14" ht="20">
      <c r="B1313" s="153"/>
      <c r="C1313" s="153"/>
      <c r="D1313" s="153"/>
      <c r="E1313" s="153"/>
      <c r="F1313" s="153"/>
      <c r="G1313" s="153"/>
      <c r="H1313" s="153"/>
      <c r="I1313" s="153"/>
      <c r="J1313" s="153"/>
      <c r="K1313" s="153"/>
      <c r="L1313" s="153"/>
      <c r="M1313" s="153"/>
      <c r="N1313" s="153"/>
    </row>
    <row r="1314" spans="2:14" ht="20">
      <c r="B1314" s="153"/>
      <c r="C1314" s="153"/>
      <c r="D1314" s="153"/>
      <c r="E1314" s="153"/>
      <c r="F1314" s="153"/>
      <c r="G1314" s="153"/>
      <c r="H1314" s="153"/>
      <c r="I1314" s="153"/>
      <c r="J1314" s="153"/>
      <c r="K1314" s="153"/>
      <c r="L1314" s="153"/>
      <c r="M1314" s="153"/>
      <c r="N1314" s="153"/>
    </row>
    <row r="1315" spans="2:14" ht="20">
      <c r="B1315" s="153"/>
      <c r="C1315" s="153"/>
      <c r="D1315" s="153"/>
      <c r="E1315" s="153"/>
      <c r="F1315" s="153"/>
      <c r="G1315" s="153"/>
      <c r="H1315" s="153"/>
      <c r="I1315" s="153"/>
      <c r="J1315" s="153"/>
      <c r="K1315" s="153"/>
      <c r="L1315" s="153"/>
      <c r="M1315" s="153"/>
      <c r="N1315" s="153"/>
    </row>
    <row r="1316" spans="2:14" ht="20">
      <c r="B1316" s="153"/>
      <c r="C1316" s="153"/>
      <c r="D1316" s="153"/>
      <c r="E1316" s="153"/>
      <c r="F1316" s="153"/>
      <c r="G1316" s="153"/>
      <c r="H1316" s="153"/>
      <c r="I1316" s="153"/>
      <c r="J1316" s="153"/>
      <c r="K1316" s="153"/>
      <c r="L1316" s="153"/>
      <c r="M1316" s="153"/>
      <c r="N1316" s="153"/>
    </row>
    <row r="1317" spans="2:14" ht="20">
      <c r="B1317" s="153"/>
      <c r="C1317" s="153"/>
      <c r="D1317" s="153"/>
      <c r="E1317" s="153"/>
      <c r="F1317" s="153"/>
      <c r="G1317" s="153"/>
      <c r="H1317" s="153"/>
      <c r="I1317" s="153"/>
      <c r="J1317" s="153"/>
      <c r="K1317" s="153"/>
      <c r="L1317" s="153"/>
      <c r="M1317" s="153"/>
      <c r="N1317" s="153"/>
    </row>
    <row r="1318" spans="2:14" ht="20">
      <c r="B1318" s="153"/>
      <c r="C1318" s="153"/>
      <c r="D1318" s="153"/>
      <c r="E1318" s="153"/>
      <c r="F1318" s="153"/>
      <c r="G1318" s="153"/>
      <c r="H1318" s="153"/>
      <c r="I1318" s="153"/>
      <c r="J1318" s="153"/>
      <c r="K1318" s="153"/>
      <c r="L1318" s="153"/>
      <c r="M1318" s="153"/>
      <c r="N1318" s="153"/>
    </row>
    <row r="1319" spans="2:14" ht="20">
      <c r="B1319" s="153"/>
      <c r="C1319" s="153"/>
      <c r="D1319" s="153"/>
      <c r="E1319" s="153"/>
      <c r="F1319" s="153"/>
      <c r="G1319" s="153"/>
      <c r="H1319" s="153"/>
      <c r="I1319" s="153"/>
      <c r="J1319" s="153"/>
      <c r="K1319" s="153"/>
      <c r="L1319" s="153"/>
      <c r="M1319" s="153"/>
      <c r="N1319" s="153"/>
    </row>
    <row r="1320" spans="2:14" ht="20">
      <c r="B1320" s="153"/>
      <c r="C1320" s="153"/>
      <c r="D1320" s="153"/>
      <c r="E1320" s="153"/>
      <c r="F1320" s="153"/>
      <c r="G1320" s="153"/>
      <c r="H1320" s="153"/>
      <c r="I1320" s="153"/>
      <c r="J1320" s="153"/>
      <c r="K1320" s="153"/>
      <c r="L1320" s="153"/>
      <c r="M1320" s="153"/>
      <c r="N1320" s="153"/>
    </row>
    <row r="1321" spans="2:14" ht="20">
      <c r="B1321" s="153"/>
      <c r="C1321" s="153"/>
      <c r="D1321" s="153"/>
      <c r="E1321" s="153"/>
      <c r="F1321" s="153"/>
      <c r="G1321" s="153"/>
      <c r="H1321" s="153"/>
      <c r="I1321" s="153"/>
      <c r="J1321" s="153"/>
      <c r="K1321" s="153"/>
      <c r="L1321" s="153"/>
      <c r="M1321" s="153"/>
      <c r="N1321" s="153"/>
    </row>
    <row r="1322" spans="2:14" ht="20">
      <c r="B1322" s="153"/>
      <c r="C1322" s="153"/>
      <c r="D1322" s="153"/>
      <c r="E1322" s="153"/>
      <c r="F1322" s="153"/>
      <c r="G1322" s="153"/>
      <c r="H1322" s="153"/>
      <c r="I1322" s="153"/>
      <c r="J1322" s="153"/>
      <c r="K1322" s="153"/>
      <c r="L1322" s="153"/>
      <c r="M1322" s="153"/>
      <c r="N1322" s="153"/>
    </row>
    <row r="1323" spans="2:14" ht="20">
      <c r="B1323" s="153"/>
      <c r="C1323" s="153"/>
      <c r="D1323" s="153"/>
      <c r="E1323" s="153"/>
      <c r="F1323" s="153"/>
      <c r="G1323" s="153"/>
      <c r="H1323" s="153"/>
      <c r="I1323" s="153"/>
      <c r="J1323" s="153"/>
      <c r="K1323" s="153"/>
      <c r="L1323" s="153"/>
      <c r="M1323" s="153"/>
      <c r="N1323" s="153"/>
    </row>
    <row r="1324" spans="2:14" ht="20">
      <c r="B1324" s="153"/>
      <c r="C1324" s="153"/>
      <c r="D1324" s="153"/>
      <c r="E1324" s="153"/>
      <c r="F1324" s="153"/>
      <c r="G1324" s="153"/>
      <c r="H1324" s="153"/>
      <c r="I1324" s="153"/>
      <c r="J1324" s="153"/>
      <c r="K1324" s="153"/>
      <c r="L1324" s="153"/>
      <c r="M1324" s="153"/>
      <c r="N1324" s="153"/>
    </row>
    <row r="1325" spans="2:14" ht="20">
      <c r="B1325" s="153"/>
      <c r="C1325" s="153"/>
      <c r="D1325" s="153"/>
      <c r="E1325" s="153"/>
      <c r="F1325" s="153"/>
      <c r="G1325" s="153"/>
      <c r="H1325" s="153"/>
      <c r="I1325" s="153"/>
      <c r="J1325" s="153"/>
      <c r="K1325" s="153"/>
      <c r="L1325" s="153"/>
      <c r="M1325" s="153"/>
      <c r="N1325" s="153"/>
    </row>
    <row r="1326" spans="2:14" ht="20">
      <c r="B1326" s="153"/>
      <c r="C1326" s="153"/>
      <c r="D1326" s="153"/>
      <c r="E1326" s="153"/>
      <c r="F1326" s="153"/>
      <c r="G1326" s="153"/>
      <c r="H1326" s="153"/>
      <c r="I1326" s="153"/>
      <c r="J1326" s="153"/>
      <c r="K1326" s="153"/>
      <c r="L1326" s="153"/>
      <c r="M1326" s="153"/>
      <c r="N1326" s="153"/>
    </row>
    <row r="1327" spans="2:14" ht="20">
      <c r="B1327" s="153"/>
      <c r="C1327" s="153"/>
      <c r="D1327" s="153"/>
      <c r="E1327" s="153"/>
      <c r="F1327" s="153"/>
      <c r="G1327" s="153"/>
      <c r="H1327" s="153"/>
      <c r="I1327" s="153"/>
      <c r="J1327" s="153"/>
      <c r="K1327" s="153"/>
      <c r="L1327" s="153"/>
      <c r="M1327" s="153"/>
      <c r="N1327" s="153"/>
    </row>
    <row r="1328" spans="2:14" ht="20">
      <c r="B1328" s="153"/>
      <c r="C1328" s="153"/>
      <c r="D1328" s="153"/>
      <c r="E1328" s="153"/>
      <c r="F1328" s="153"/>
      <c r="G1328" s="153"/>
      <c r="H1328" s="153"/>
      <c r="I1328" s="153"/>
      <c r="J1328" s="153"/>
      <c r="K1328" s="153"/>
      <c r="L1328" s="153"/>
      <c r="M1328" s="153"/>
      <c r="N1328" s="153"/>
    </row>
    <row r="1329" spans="2:14" ht="20">
      <c r="B1329" s="153"/>
      <c r="C1329" s="153"/>
      <c r="D1329" s="153"/>
      <c r="E1329" s="153"/>
      <c r="F1329" s="153"/>
      <c r="G1329" s="153"/>
      <c r="H1329" s="153"/>
      <c r="I1329" s="153"/>
      <c r="J1329" s="153"/>
      <c r="K1329" s="153"/>
      <c r="L1329" s="153"/>
      <c r="M1329" s="153"/>
      <c r="N1329" s="153"/>
    </row>
    <row r="1330" spans="2:14" ht="20">
      <c r="B1330" s="153"/>
      <c r="C1330" s="153"/>
      <c r="D1330" s="153"/>
      <c r="E1330" s="153"/>
      <c r="F1330" s="153"/>
      <c r="G1330" s="153"/>
      <c r="H1330" s="153"/>
      <c r="I1330" s="153"/>
      <c r="J1330" s="153"/>
      <c r="K1330" s="153"/>
      <c r="L1330" s="153"/>
      <c r="M1330" s="153"/>
      <c r="N1330" s="153"/>
    </row>
    <row r="1331" spans="2:14" ht="20">
      <c r="B1331" s="153"/>
      <c r="C1331" s="153"/>
      <c r="D1331" s="153"/>
      <c r="E1331" s="153"/>
      <c r="F1331" s="153"/>
      <c r="G1331" s="153"/>
      <c r="H1331" s="153"/>
      <c r="I1331" s="153"/>
      <c r="J1331" s="153"/>
      <c r="K1331" s="153"/>
      <c r="L1331" s="153"/>
      <c r="M1331" s="153"/>
      <c r="N1331" s="153"/>
    </row>
    <row r="1332" spans="2:14" ht="20">
      <c r="B1332" s="153"/>
      <c r="C1332" s="153"/>
      <c r="D1332" s="153"/>
      <c r="E1332" s="153"/>
      <c r="F1332" s="153"/>
      <c r="G1332" s="153"/>
      <c r="H1332" s="153"/>
      <c r="I1332" s="153"/>
      <c r="J1332" s="153"/>
      <c r="K1332" s="153"/>
      <c r="L1332" s="153"/>
      <c r="M1332" s="153"/>
      <c r="N1332" s="153"/>
    </row>
    <row r="1333" spans="2:14" ht="20">
      <c r="B1333" s="153"/>
      <c r="C1333" s="153"/>
      <c r="D1333" s="153"/>
      <c r="E1333" s="153"/>
      <c r="F1333" s="153"/>
      <c r="G1333" s="153"/>
      <c r="H1333" s="153"/>
      <c r="I1333" s="153"/>
      <c r="J1333" s="153"/>
      <c r="K1333" s="153"/>
      <c r="L1333" s="153"/>
      <c r="M1333" s="153"/>
      <c r="N1333" s="153"/>
    </row>
    <row r="1334" spans="2:14" ht="20">
      <c r="B1334" s="153"/>
      <c r="C1334" s="153"/>
      <c r="D1334" s="153"/>
      <c r="E1334" s="153"/>
      <c r="F1334" s="153"/>
      <c r="G1334" s="153"/>
      <c r="H1334" s="153"/>
      <c r="I1334" s="153"/>
      <c r="J1334" s="153"/>
      <c r="K1334" s="153"/>
      <c r="L1334" s="153"/>
      <c r="M1334" s="153"/>
      <c r="N1334" s="153"/>
    </row>
    <row r="1335" spans="2:14" ht="20">
      <c r="B1335" s="153"/>
      <c r="C1335" s="153"/>
      <c r="D1335" s="153"/>
      <c r="E1335" s="153"/>
      <c r="F1335" s="153"/>
      <c r="G1335" s="153"/>
      <c r="H1335" s="153"/>
      <c r="I1335" s="153"/>
      <c r="J1335" s="153"/>
      <c r="K1335" s="153"/>
      <c r="L1335" s="153"/>
      <c r="M1335" s="153"/>
      <c r="N1335" s="153"/>
    </row>
    <row r="1336" spans="2:14" ht="20">
      <c r="B1336" s="153"/>
      <c r="C1336" s="153"/>
      <c r="D1336" s="153"/>
      <c r="E1336" s="153"/>
      <c r="F1336" s="153"/>
      <c r="G1336" s="153"/>
      <c r="H1336" s="153"/>
      <c r="I1336" s="153"/>
      <c r="J1336" s="153"/>
      <c r="K1336" s="153"/>
      <c r="L1336" s="153"/>
      <c r="M1336" s="153"/>
      <c r="N1336" s="153"/>
    </row>
    <row r="1337" spans="2:14" ht="20">
      <c r="B1337" s="153"/>
      <c r="C1337" s="153"/>
      <c r="D1337" s="153"/>
      <c r="E1337" s="153"/>
      <c r="F1337" s="153"/>
      <c r="G1337" s="153"/>
      <c r="H1337" s="153"/>
      <c r="I1337" s="153"/>
      <c r="J1337" s="153"/>
      <c r="K1337" s="153"/>
      <c r="L1337" s="153"/>
      <c r="M1337" s="153"/>
      <c r="N1337" s="153"/>
    </row>
    <row r="1338" spans="2:14" ht="20">
      <c r="B1338" s="153"/>
      <c r="C1338" s="153"/>
      <c r="D1338" s="153"/>
      <c r="E1338" s="153"/>
      <c r="F1338" s="153"/>
      <c r="G1338" s="153"/>
      <c r="H1338" s="153"/>
      <c r="I1338" s="153"/>
      <c r="J1338" s="153"/>
      <c r="K1338" s="153"/>
      <c r="L1338" s="153"/>
      <c r="M1338" s="153"/>
      <c r="N1338" s="153"/>
    </row>
    <row r="1339" spans="2:14" ht="20">
      <c r="B1339" s="153"/>
      <c r="C1339" s="153"/>
      <c r="D1339" s="153"/>
      <c r="E1339" s="153"/>
      <c r="F1339" s="153"/>
      <c r="G1339" s="153"/>
      <c r="H1339" s="153"/>
      <c r="I1339" s="153"/>
      <c r="J1339" s="153"/>
      <c r="K1339" s="153"/>
      <c r="L1339" s="153"/>
      <c r="M1339" s="153"/>
      <c r="N1339" s="153"/>
    </row>
    <row r="1340" spans="2:14" ht="20">
      <c r="B1340" s="153"/>
      <c r="C1340" s="153"/>
      <c r="D1340" s="153"/>
      <c r="E1340" s="153"/>
      <c r="F1340" s="153"/>
      <c r="G1340" s="153"/>
      <c r="H1340" s="153"/>
      <c r="I1340" s="153"/>
      <c r="J1340" s="153"/>
      <c r="K1340" s="153"/>
      <c r="L1340" s="153"/>
      <c r="M1340" s="153"/>
      <c r="N1340" s="153"/>
    </row>
    <row r="1341" spans="2:14" ht="20">
      <c r="B1341" s="153"/>
      <c r="C1341" s="153"/>
      <c r="D1341" s="153"/>
      <c r="E1341" s="153"/>
      <c r="F1341" s="153"/>
      <c r="G1341" s="153"/>
      <c r="H1341" s="153"/>
      <c r="I1341" s="153"/>
      <c r="J1341" s="153"/>
      <c r="K1341" s="153"/>
      <c r="L1341" s="153"/>
      <c r="M1341" s="153"/>
      <c r="N1341" s="153"/>
    </row>
    <row r="1342" spans="2:14" ht="20">
      <c r="B1342" s="153"/>
      <c r="C1342" s="153"/>
      <c r="D1342" s="153"/>
      <c r="E1342" s="153"/>
      <c r="F1342" s="153"/>
      <c r="G1342" s="153"/>
      <c r="H1342" s="153"/>
      <c r="I1342" s="153"/>
      <c r="J1342" s="153"/>
      <c r="K1342" s="153"/>
      <c r="L1342" s="153"/>
      <c r="M1342" s="153"/>
      <c r="N1342" s="153"/>
    </row>
    <row r="1343" spans="2:14" ht="20">
      <c r="B1343" s="153"/>
      <c r="C1343" s="153"/>
      <c r="D1343" s="153"/>
      <c r="E1343" s="153"/>
      <c r="F1343" s="153"/>
      <c r="G1343" s="153"/>
      <c r="H1343" s="153"/>
      <c r="I1343" s="153"/>
      <c r="J1343" s="153"/>
      <c r="K1343" s="153"/>
      <c r="L1343" s="153"/>
      <c r="M1343" s="153"/>
      <c r="N1343" s="153"/>
    </row>
    <row r="1344" spans="2:14" ht="20">
      <c r="B1344" s="153"/>
      <c r="C1344" s="153"/>
      <c r="D1344" s="153"/>
      <c r="E1344" s="153"/>
      <c r="F1344" s="153"/>
      <c r="G1344" s="153"/>
      <c r="H1344" s="153"/>
      <c r="I1344" s="153"/>
      <c r="J1344" s="153"/>
      <c r="K1344" s="153"/>
      <c r="L1344" s="153"/>
      <c r="M1344" s="153"/>
      <c r="N1344" s="153"/>
    </row>
    <row r="1345" spans="2:14" ht="20">
      <c r="B1345" s="153"/>
      <c r="C1345" s="153"/>
      <c r="D1345" s="153"/>
      <c r="E1345" s="153"/>
      <c r="F1345" s="153"/>
      <c r="G1345" s="153"/>
      <c r="H1345" s="153"/>
      <c r="I1345" s="153"/>
      <c r="J1345" s="153"/>
      <c r="K1345" s="153"/>
      <c r="L1345" s="153"/>
      <c r="M1345" s="153"/>
      <c r="N1345" s="153"/>
    </row>
    <row r="1346" spans="2:14" ht="20">
      <c r="B1346" s="153"/>
      <c r="C1346" s="153"/>
      <c r="D1346" s="153"/>
      <c r="E1346" s="153"/>
      <c r="F1346" s="153"/>
      <c r="G1346" s="153"/>
      <c r="H1346" s="153"/>
      <c r="I1346" s="153"/>
      <c r="J1346" s="153"/>
      <c r="K1346" s="153"/>
      <c r="L1346" s="153"/>
      <c r="M1346" s="153"/>
      <c r="N1346" s="153"/>
    </row>
    <row r="1347" spans="2:14" ht="20">
      <c r="B1347" s="153"/>
      <c r="C1347" s="153"/>
      <c r="D1347" s="153"/>
      <c r="E1347" s="153"/>
      <c r="F1347" s="153"/>
      <c r="G1347" s="153"/>
      <c r="H1347" s="153"/>
      <c r="I1347" s="153"/>
      <c r="J1347" s="153"/>
      <c r="K1347" s="153"/>
      <c r="L1347" s="153"/>
      <c r="M1347" s="153"/>
      <c r="N1347" s="153"/>
    </row>
    <row r="1348" spans="2:14" ht="20">
      <c r="B1348" s="153"/>
      <c r="C1348" s="153"/>
      <c r="D1348" s="153"/>
      <c r="E1348" s="153"/>
      <c r="F1348" s="153"/>
      <c r="G1348" s="153"/>
      <c r="H1348" s="153"/>
      <c r="I1348" s="153"/>
      <c r="J1348" s="153"/>
      <c r="K1348" s="153"/>
      <c r="L1348" s="153"/>
      <c r="M1348" s="153"/>
      <c r="N1348" s="153"/>
    </row>
    <row r="1349" spans="2:14" ht="20">
      <c r="B1349" s="153"/>
      <c r="C1349" s="153"/>
      <c r="D1349" s="153"/>
      <c r="E1349" s="153"/>
      <c r="F1349" s="153"/>
      <c r="G1349" s="153"/>
      <c r="H1349" s="153"/>
      <c r="I1349" s="153"/>
      <c r="J1349" s="153"/>
      <c r="K1349" s="153"/>
      <c r="L1349" s="153"/>
      <c r="M1349" s="153"/>
      <c r="N1349" s="153"/>
    </row>
    <row r="1350" spans="2:14" ht="20">
      <c r="B1350" s="153"/>
      <c r="C1350" s="153"/>
      <c r="D1350" s="153"/>
      <c r="E1350" s="153"/>
      <c r="F1350" s="153"/>
      <c r="G1350" s="153"/>
      <c r="H1350" s="153"/>
      <c r="I1350" s="153"/>
      <c r="J1350" s="153"/>
      <c r="K1350" s="153"/>
      <c r="L1350" s="153"/>
      <c r="M1350" s="153"/>
      <c r="N1350" s="153"/>
    </row>
    <row r="1351" spans="2:14" ht="20">
      <c r="B1351" s="153"/>
      <c r="C1351" s="153"/>
      <c r="D1351" s="153"/>
      <c r="E1351" s="153"/>
      <c r="F1351" s="153"/>
      <c r="G1351" s="153"/>
      <c r="H1351" s="153"/>
      <c r="I1351" s="153"/>
      <c r="J1351" s="153"/>
      <c r="K1351" s="153"/>
      <c r="L1351" s="153"/>
      <c r="M1351" s="153"/>
      <c r="N1351" s="153"/>
    </row>
    <row r="1352" spans="2:14" ht="20">
      <c r="B1352" s="153"/>
      <c r="C1352" s="153"/>
      <c r="D1352" s="153"/>
      <c r="E1352" s="153"/>
      <c r="F1352" s="153"/>
      <c r="G1352" s="153"/>
      <c r="H1352" s="153"/>
      <c r="I1352" s="153"/>
      <c r="J1352" s="153"/>
      <c r="K1352" s="153"/>
      <c r="L1352" s="153"/>
      <c r="M1352" s="153"/>
      <c r="N1352" s="153"/>
    </row>
    <row r="1353" spans="2:14" ht="20">
      <c r="B1353" s="153"/>
      <c r="C1353" s="153"/>
      <c r="D1353" s="153"/>
      <c r="E1353" s="153"/>
      <c r="F1353" s="153"/>
      <c r="G1353" s="153"/>
      <c r="H1353" s="153"/>
      <c r="I1353" s="153"/>
      <c r="J1353" s="153"/>
      <c r="K1353" s="153"/>
      <c r="L1353" s="153"/>
      <c r="M1353" s="153"/>
      <c r="N1353" s="153"/>
    </row>
    <row r="1354" spans="2:14" ht="20">
      <c r="B1354" s="153"/>
      <c r="C1354" s="153"/>
      <c r="D1354" s="153"/>
      <c r="E1354" s="153"/>
      <c r="F1354" s="153"/>
      <c r="G1354" s="153"/>
      <c r="H1354" s="153"/>
      <c r="I1354" s="153"/>
      <c r="J1354" s="153"/>
      <c r="K1354" s="153"/>
      <c r="L1354" s="153"/>
      <c r="M1354" s="153"/>
      <c r="N1354" s="153"/>
    </row>
    <row r="1355" spans="2:14" ht="20">
      <c r="B1355" s="153"/>
      <c r="C1355" s="153"/>
      <c r="D1355" s="153"/>
      <c r="E1355" s="153"/>
      <c r="F1355" s="153"/>
      <c r="G1355" s="153"/>
      <c r="H1355" s="153"/>
      <c r="I1355" s="153"/>
      <c r="J1355" s="153"/>
      <c r="K1355" s="153"/>
      <c r="L1355" s="153"/>
      <c r="M1355" s="153"/>
      <c r="N1355" s="153"/>
    </row>
    <row r="1356" spans="2:14" ht="20">
      <c r="B1356" s="153"/>
      <c r="C1356" s="153"/>
      <c r="D1356" s="153"/>
      <c r="E1356" s="153"/>
      <c r="F1356" s="153"/>
      <c r="G1356" s="153"/>
      <c r="H1356" s="153"/>
      <c r="I1356" s="153"/>
      <c r="J1356" s="153"/>
      <c r="K1356" s="153"/>
      <c r="L1356" s="153"/>
      <c r="M1356" s="153"/>
      <c r="N1356" s="153"/>
    </row>
    <row r="1357" spans="2:14" ht="20">
      <c r="B1357" s="153"/>
      <c r="C1357" s="153"/>
      <c r="D1357" s="153"/>
      <c r="E1357" s="153"/>
      <c r="F1357" s="153"/>
      <c r="G1357" s="153"/>
      <c r="H1357" s="153"/>
      <c r="I1357" s="153"/>
      <c r="J1357" s="153"/>
      <c r="K1357" s="153"/>
      <c r="L1357" s="153"/>
      <c r="M1357" s="153"/>
      <c r="N1357" s="153"/>
    </row>
    <row r="1358" spans="2:14" ht="20">
      <c r="B1358" s="153"/>
      <c r="C1358" s="153"/>
      <c r="D1358" s="153"/>
      <c r="E1358" s="153"/>
      <c r="F1358" s="153"/>
      <c r="G1358" s="153"/>
      <c r="H1358" s="153"/>
      <c r="I1358" s="153"/>
      <c r="J1358" s="153"/>
      <c r="K1358" s="153"/>
      <c r="L1358" s="153"/>
      <c r="M1358" s="153"/>
      <c r="N1358" s="153"/>
    </row>
    <row r="1359" spans="2:14" ht="20">
      <c r="B1359" s="153"/>
      <c r="C1359" s="153"/>
      <c r="D1359" s="153"/>
      <c r="E1359" s="153"/>
      <c r="F1359" s="153"/>
      <c r="G1359" s="153"/>
      <c r="H1359" s="153"/>
      <c r="I1359" s="153"/>
      <c r="J1359" s="153"/>
      <c r="K1359" s="153"/>
      <c r="L1359" s="153"/>
      <c r="M1359" s="153"/>
      <c r="N1359" s="153"/>
    </row>
    <row r="1360" spans="2:14" ht="20">
      <c r="B1360" s="153"/>
      <c r="C1360" s="153"/>
      <c r="D1360" s="153"/>
      <c r="E1360" s="153"/>
      <c r="F1360" s="153"/>
      <c r="G1360" s="153"/>
      <c r="H1360" s="153"/>
      <c r="I1360" s="153"/>
      <c r="J1360" s="153"/>
      <c r="K1360" s="153"/>
      <c r="L1360" s="153"/>
      <c r="M1360" s="153"/>
      <c r="N1360" s="153"/>
    </row>
    <row r="1361" spans="2:14" ht="20">
      <c r="B1361" s="153"/>
      <c r="C1361" s="153"/>
      <c r="D1361" s="153"/>
      <c r="E1361" s="153"/>
      <c r="F1361" s="153"/>
      <c r="G1361" s="153"/>
      <c r="H1361" s="153"/>
      <c r="I1361" s="153"/>
      <c r="J1361" s="153"/>
      <c r="K1361" s="153"/>
      <c r="L1361" s="153"/>
      <c r="M1361" s="153"/>
      <c r="N1361" s="153"/>
    </row>
    <row r="1362" spans="2:14" ht="20">
      <c r="B1362" s="153"/>
      <c r="C1362" s="153"/>
      <c r="D1362" s="153"/>
      <c r="E1362" s="153"/>
      <c r="F1362" s="153"/>
      <c r="G1362" s="153"/>
      <c r="H1362" s="153"/>
      <c r="I1362" s="153"/>
      <c r="J1362" s="153"/>
      <c r="K1362" s="153"/>
      <c r="L1362" s="153"/>
      <c r="M1362" s="153"/>
      <c r="N1362" s="153"/>
    </row>
    <row r="1363" spans="2:14" ht="20">
      <c r="B1363" s="153"/>
      <c r="C1363" s="153"/>
      <c r="D1363" s="153"/>
      <c r="E1363" s="153"/>
      <c r="F1363" s="153"/>
      <c r="G1363" s="153"/>
      <c r="H1363" s="153"/>
      <c r="I1363" s="153"/>
      <c r="J1363" s="153"/>
      <c r="K1363" s="153"/>
      <c r="L1363" s="153"/>
      <c r="M1363" s="153"/>
      <c r="N1363" s="153"/>
    </row>
    <row r="1364" spans="2:14" ht="20">
      <c r="B1364" s="153"/>
      <c r="C1364" s="153"/>
      <c r="D1364" s="153"/>
      <c r="E1364" s="153"/>
      <c r="F1364" s="153"/>
      <c r="G1364" s="153"/>
      <c r="H1364" s="153"/>
      <c r="I1364" s="153"/>
      <c r="J1364" s="153"/>
      <c r="K1364" s="153"/>
      <c r="L1364" s="153"/>
      <c r="M1364" s="153"/>
      <c r="N1364" s="153"/>
    </row>
    <row r="1365" spans="2:14" ht="20">
      <c r="B1365" s="153"/>
      <c r="C1365" s="153"/>
      <c r="D1365" s="153"/>
      <c r="E1365" s="153"/>
      <c r="F1365" s="153"/>
      <c r="G1365" s="153"/>
      <c r="H1365" s="153"/>
      <c r="I1365" s="153"/>
      <c r="J1365" s="153"/>
      <c r="K1365" s="153"/>
      <c r="L1365" s="153"/>
      <c r="M1365" s="153"/>
      <c r="N1365" s="153"/>
    </row>
    <row r="1366" spans="2:14" ht="20">
      <c r="B1366" s="153"/>
      <c r="C1366" s="153"/>
      <c r="D1366" s="153"/>
      <c r="E1366" s="153"/>
      <c r="F1366" s="153"/>
      <c r="G1366" s="153"/>
      <c r="H1366" s="153"/>
      <c r="I1366" s="153"/>
      <c r="J1366" s="153"/>
      <c r="K1366" s="153"/>
      <c r="L1366" s="153"/>
      <c r="M1366" s="153"/>
      <c r="N1366" s="153"/>
    </row>
    <row r="1367" spans="2:14" ht="20">
      <c r="B1367" s="153"/>
      <c r="C1367" s="153"/>
      <c r="D1367" s="153"/>
      <c r="E1367" s="153"/>
      <c r="F1367" s="153"/>
      <c r="G1367" s="153"/>
      <c r="H1367" s="153"/>
      <c r="I1367" s="153"/>
      <c r="J1367" s="153"/>
      <c r="K1367" s="153"/>
      <c r="L1367" s="153"/>
      <c r="M1367" s="153"/>
      <c r="N1367" s="153"/>
    </row>
    <row r="1368" spans="2:14" ht="20">
      <c r="B1368" s="153"/>
      <c r="C1368" s="153"/>
      <c r="D1368" s="153"/>
      <c r="E1368" s="153"/>
      <c r="F1368" s="153"/>
      <c r="G1368" s="153"/>
      <c r="H1368" s="153"/>
      <c r="I1368" s="153"/>
      <c r="J1368" s="153"/>
      <c r="K1368" s="153"/>
      <c r="L1368" s="153"/>
      <c r="M1368" s="153"/>
      <c r="N1368" s="153"/>
    </row>
    <row r="1369" spans="2:14" ht="20">
      <c r="B1369" s="153"/>
      <c r="C1369" s="153"/>
      <c r="D1369" s="153"/>
      <c r="E1369" s="153"/>
      <c r="F1369" s="153"/>
      <c r="G1369" s="153"/>
      <c r="H1369" s="153"/>
      <c r="I1369" s="153"/>
      <c r="J1369" s="153"/>
      <c r="K1369" s="153"/>
      <c r="L1369" s="153"/>
      <c r="M1369" s="153"/>
      <c r="N1369" s="153"/>
    </row>
    <row r="1370" spans="2:14" ht="20">
      <c r="B1370" s="153"/>
      <c r="C1370" s="153"/>
      <c r="D1370" s="153"/>
      <c r="E1370" s="153"/>
      <c r="F1370" s="153"/>
      <c r="G1370" s="153"/>
      <c r="H1370" s="153"/>
      <c r="I1370" s="153"/>
      <c r="J1370" s="153"/>
      <c r="K1370" s="153"/>
      <c r="L1370" s="153"/>
      <c r="M1370" s="153"/>
      <c r="N1370" s="153"/>
    </row>
    <row r="1371" spans="2:14" ht="20">
      <c r="B1371" s="153"/>
      <c r="C1371" s="153"/>
      <c r="D1371" s="153"/>
      <c r="E1371" s="153"/>
      <c r="F1371" s="153"/>
      <c r="G1371" s="153"/>
      <c r="H1371" s="153"/>
      <c r="I1371" s="153"/>
      <c r="J1371" s="153"/>
      <c r="K1371" s="153"/>
      <c r="L1371" s="153"/>
      <c r="M1371" s="153"/>
      <c r="N1371" s="153"/>
    </row>
    <row r="1372" spans="2:14" ht="20">
      <c r="B1372" s="153"/>
      <c r="C1372" s="153"/>
      <c r="D1372" s="153"/>
      <c r="E1372" s="153"/>
      <c r="F1372" s="153"/>
      <c r="G1372" s="153"/>
      <c r="H1372" s="153"/>
      <c r="I1372" s="153"/>
      <c r="J1372" s="153"/>
      <c r="K1372" s="153"/>
      <c r="L1372" s="153"/>
      <c r="M1372" s="153"/>
      <c r="N1372" s="153"/>
    </row>
    <row r="1373" spans="2:14" ht="20">
      <c r="B1373" s="153"/>
      <c r="C1373" s="153"/>
      <c r="D1373" s="153"/>
      <c r="E1373" s="153"/>
      <c r="F1373" s="153"/>
      <c r="G1373" s="153"/>
      <c r="H1373" s="153"/>
      <c r="I1373" s="153"/>
      <c r="J1373" s="153"/>
      <c r="K1373" s="153"/>
      <c r="L1373" s="153"/>
      <c r="M1373" s="153"/>
      <c r="N1373" s="153"/>
    </row>
    <row r="1374" spans="2:14" ht="20">
      <c r="B1374" s="153"/>
      <c r="C1374" s="153"/>
      <c r="D1374" s="153"/>
      <c r="E1374" s="153"/>
      <c r="F1374" s="153"/>
      <c r="G1374" s="153"/>
      <c r="H1374" s="153"/>
      <c r="I1374" s="153"/>
      <c r="J1374" s="153"/>
      <c r="K1374" s="153"/>
      <c r="L1374" s="153"/>
      <c r="M1374" s="153"/>
      <c r="N1374" s="153"/>
    </row>
    <row r="1375" spans="2:14" ht="20">
      <c r="B1375" s="153"/>
      <c r="C1375" s="153"/>
      <c r="D1375" s="153"/>
      <c r="E1375" s="153"/>
      <c r="F1375" s="153"/>
      <c r="G1375" s="153"/>
      <c r="H1375" s="153"/>
      <c r="I1375" s="153"/>
      <c r="J1375" s="153"/>
      <c r="K1375" s="153"/>
      <c r="L1375" s="153"/>
      <c r="M1375" s="153"/>
      <c r="N1375" s="153"/>
    </row>
    <row r="1376" spans="2:14" ht="20">
      <c r="B1376" s="153"/>
      <c r="C1376" s="153"/>
      <c r="D1376" s="153"/>
      <c r="E1376" s="153"/>
      <c r="F1376" s="153"/>
      <c r="G1376" s="153"/>
      <c r="H1376" s="153"/>
      <c r="I1376" s="153"/>
      <c r="J1376" s="153"/>
      <c r="K1376" s="153"/>
      <c r="L1376" s="153"/>
      <c r="M1376" s="153"/>
      <c r="N1376" s="153"/>
    </row>
    <row r="1377" spans="2:14" ht="20">
      <c r="B1377" s="153"/>
      <c r="C1377" s="153"/>
      <c r="D1377" s="153"/>
      <c r="E1377" s="153"/>
      <c r="F1377" s="153"/>
      <c r="G1377" s="153"/>
      <c r="H1377" s="153"/>
      <c r="I1377" s="153"/>
      <c r="J1377" s="153"/>
      <c r="K1377" s="153"/>
      <c r="L1377" s="153"/>
      <c r="M1377" s="153"/>
      <c r="N1377" s="153"/>
    </row>
    <row r="1378" spans="2:14" ht="20">
      <c r="B1378" s="153"/>
      <c r="C1378" s="153"/>
      <c r="D1378" s="153"/>
      <c r="E1378" s="153"/>
      <c r="F1378" s="153"/>
      <c r="G1378" s="153"/>
      <c r="H1378" s="153"/>
      <c r="I1378" s="153"/>
      <c r="J1378" s="153"/>
      <c r="K1378" s="153"/>
      <c r="L1378" s="153"/>
      <c r="M1378" s="153"/>
      <c r="N1378" s="153"/>
    </row>
    <row r="1379" spans="2:14" ht="20">
      <c r="B1379" s="153"/>
      <c r="C1379" s="153"/>
      <c r="D1379" s="153"/>
      <c r="E1379" s="153"/>
      <c r="F1379" s="153"/>
      <c r="G1379" s="153"/>
      <c r="H1379" s="153"/>
      <c r="I1379" s="153"/>
      <c r="J1379" s="153"/>
      <c r="K1379" s="153"/>
      <c r="L1379" s="153"/>
      <c r="M1379" s="153"/>
      <c r="N1379" s="153"/>
    </row>
    <row r="1380" spans="2:14" ht="20">
      <c r="B1380" s="153"/>
      <c r="C1380" s="153"/>
      <c r="D1380" s="153"/>
      <c r="E1380" s="153"/>
      <c r="F1380" s="153"/>
      <c r="G1380" s="153"/>
      <c r="H1380" s="153"/>
      <c r="I1380" s="153"/>
      <c r="J1380" s="153"/>
      <c r="K1380" s="153"/>
      <c r="L1380" s="153"/>
      <c r="M1380" s="153"/>
      <c r="N1380" s="153"/>
    </row>
    <row r="1381" spans="2:14" ht="20">
      <c r="B1381" s="153"/>
      <c r="C1381" s="153"/>
      <c r="D1381" s="153"/>
      <c r="E1381" s="153"/>
      <c r="F1381" s="153"/>
      <c r="G1381" s="153"/>
      <c r="H1381" s="153"/>
      <c r="I1381" s="153"/>
      <c r="J1381" s="153"/>
      <c r="K1381" s="153"/>
      <c r="L1381" s="153"/>
      <c r="M1381" s="153"/>
      <c r="N1381" s="153"/>
    </row>
    <row r="1382" spans="2:14" ht="20">
      <c r="B1382" s="153"/>
      <c r="C1382" s="153"/>
      <c r="D1382" s="153"/>
      <c r="E1382" s="153"/>
      <c r="F1382" s="153"/>
      <c r="G1382" s="153"/>
      <c r="H1382" s="153"/>
      <c r="I1382" s="153"/>
      <c r="J1382" s="153"/>
      <c r="K1382" s="153"/>
      <c r="L1382" s="153"/>
      <c r="M1382" s="153"/>
      <c r="N1382" s="153"/>
    </row>
    <row r="1383" spans="2:14" ht="20">
      <c r="B1383" s="153"/>
      <c r="C1383" s="153"/>
      <c r="D1383" s="153"/>
      <c r="E1383" s="153"/>
      <c r="F1383" s="153"/>
      <c r="G1383" s="153"/>
      <c r="H1383" s="153"/>
      <c r="I1383" s="153"/>
      <c r="J1383" s="153"/>
      <c r="K1383" s="153"/>
      <c r="L1383" s="153"/>
      <c r="M1383" s="153"/>
      <c r="N1383" s="153"/>
    </row>
    <row r="1384" spans="2:14" ht="20">
      <c r="B1384" s="153"/>
      <c r="C1384" s="153"/>
      <c r="D1384" s="153"/>
      <c r="E1384" s="153"/>
      <c r="F1384" s="153"/>
      <c r="G1384" s="153"/>
      <c r="H1384" s="153"/>
      <c r="I1384" s="153"/>
      <c r="J1384" s="153"/>
      <c r="K1384" s="153"/>
      <c r="L1384" s="153"/>
      <c r="M1384" s="153"/>
      <c r="N1384" s="153"/>
    </row>
    <row r="1385" spans="2:14" ht="20">
      <c r="B1385" s="153"/>
      <c r="C1385" s="153"/>
      <c r="D1385" s="153"/>
      <c r="E1385" s="153"/>
      <c r="F1385" s="153"/>
      <c r="G1385" s="153"/>
      <c r="H1385" s="153"/>
      <c r="I1385" s="153"/>
      <c r="J1385" s="153"/>
      <c r="K1385" s="153"/>
      <c r="L1385" s="153"/>
      <c r="M1385" s="153"/>
      <c r="N1385" s="153"/>
    </row>
    <row r="1386" spans="2:14" ht="20">
      <c r="B1386" s="153"/>
      <c r="C1386" s="153"/>
      <c r="D1386" s="153"/>
      <c r="E1386" s="153"/>
      <c r="F1386" s="153"/>
      <c r="G1386" s="153"/>
      <c r="H1386" s="153"/>
      <c r="I1386" s="153"/>
      <c r="J1386" s="153"/>
      <c r="K1386" s="153"/>
      <c r="L1386" s="153"/>
      <c r="M1386" s="153"/>
      <c r="N1386" s="153"/>
    </row>
    <row r="1387" spans="2:14" ht="20">
      <c r="B1387" s="153"/>
      <c r="C1387" s="153"/>
      <c r="D1387" s="153"/>
      <c r="E1387" s="153"/>
      <c r="F1387" s="153"/>
      <c r="G1387" s="153"/>
      <c r="H1387" s="153"/>
      <c r="I1387" s="153"/>
      <c r="J1387" s="153"/>
      <c r="K1387" s="153"/>
      <c r="L1387" s="153"/>
      <c r="M1387" s="153"/>
      <c r="N1387" s="153"/>
    </row>
    <row r="1388" spans="2:14" ht="20">
      <c r="B1388" s="153"/>
      <c r="C1388" s="153"/>
      <c r="D1388" s="153"/>
      <c r="E1388" s="153"/>
      <c r="F1388" s="153"/>
      <c r="G1388" s="153"/>
      <c r="H1388" s="153"/>
      <c r="I1388" s="153"/>
      <c r="J1388" s="153"/>
      <c r="K1388" s="153"/>
      <c r="L1388" s="153"/>
      <c r="M1388" s="153"/>
      <c r="N1388" s="153"/>
    </row>
    <row r="1389" spans="2:14" ht="20">
      <c r="B1389" s="153"/>
      <c r="C1389" s="153"/>
      <c r="D1389" s="153"/>
      <c r="E1389" s="153"/>
      <c r="F1389" s="153"/>
      <c r="G1389" s="153"/>
      <c r="H1389" s="153"/>
      <c r="I1389" s="153"/>
      <c r="J1389" s="153"/>
      <c r="K1389" s="153"/>
      <c r="L1389" s="153"/>
      <c r="M1389" s="153"/>
      <c r="N1389" s="153"/>
    </row>
    <row r="1390" spans="2:14" ht="20">
      <c r="B1390" s="153"/>
      <c r="C1390" s="153"/>
      <c r="D1390" s="153"/>
      <c r="E1390" s="153"/>
      <c r="F1390" s="153"/>
      <c r="G1390" s="153"/>
      <c r="H1390" s="153"/>
      <c r="I1390" s="153"/>
      <c r="J1390" s="153"/>
      <c r="K1390" s="153"/>
      <c r="L1390" s="153"/>
      <c r="M1390" s="153"/>
      <c r="N1390" s="153"/>
    </row>
    <row r="1391" spans="2:14" ht="20">
      <c r="B1391" s="153"/>
      <c r="C1391" s="153"/>
      <c r="D1391" s="153"/>
      <c r="E1391" s="153"/>
      <c r="F1391" s="153"/>
      <c r="G1391" s="153"/>
      <c r="H1391" s="153"/>
      <c r="I1391" s="153"/>
      <c r="J1391" s="153"/>
      <c r="K1391" s="153"/>
      <c r="L1391" s="153"/>
      <c r="M1391" s="153"/>
      <c r="N1391" s="153"/>
    </row>
    <row r="1392" spans="2:14" ht="20">
      <c r="B1392" s="153"/>
      <c r="C1392" s="153"/>
      <c r="D1392" s="153"/>
      <c r="E1392" s="153"/>
      <c r="F1392" s="153"/>
      <c r="G1392" s="153"/>
      <c r="H1392" s="153"/>
      <c r="I1392" s="153"/>
      <c r="J1392" s="153"/>
      <c r="K1392" s="153"/>
      <c r="L1392" s="153"/>
      <c r="M1392" s="153"/>
      <c r="N1392" s="153"/>
    </row>
    <row r="1393" spans="2:14" ht="20">
      <c r="B1393" s="153"/>
      <c r="C1393" s="153"/>
      <c r="D1393" s="153"/>
      <c r="E1393" s="153"/>
      <c r="F1393" s="153"/>
      <c r="G1393" s="153"/>
      <c r="H1393" s="153"/>
      <c r="I1393" s="153"/>
      <c r="J1393" s="153"/>
      <c r="K1393" s="153"/>
      <c r="L1393" s="153"/>
      <c r="M1393" s="153"/>
      <c r="N1393" s="153"/>
    </row>
    <row r="1394" spans="2:14" ht="20">
      <c r="B1394" s="153"/>
      <c r="C1394" s="153"/>
      <c r="D1394" s="153"/>
      <c r="E1394" s="153"/>
      <c r="F1394" s="153"/>
      <c r="G1394" s="153"/>
      <c r="H1394" s="153"/>
      <c r="I1394" s="153"/>
      <c r="J1394" s="153"/>
      <c r="K1394" s="153"/>
      <c r="L1394" s="153"/>
      <c r="M1394" s="153"/>
      <c r="N1394" s="153"/>
    </row>
    <row r="1395" spans="2:14" ht="20">
      <c r="B1395" s="153"/>
      <c r="C1395" s="153"/>
      <c r="D1395" s="153"/>
      <c r="E1395" s="153"/>
      <c r="F1395" s="153"/>
      <c r="G1395" s="153"/>
      <c r="H1395" s="153"/>
      <c r="I1395" s="153"/>
      <c r="J1395" s="153"/>
      <c r="K1395" s="153"/>
      <c r="L1395" s="153"/>
      <c r="M1395" s="153"/>
      <c r="N1395" s="153"/>
    </row>
    <row r="1396" spans="2:14" ht="20">
      <c r="B1396" s="153"/>
      <c r="C1396" s="153"/>
      <c r="D1396" s="153"/>
      <c r="E1396" s="153"/>
      <c r="F1396" s="153"/>
      <c r="G1396" s="153"/>
      <c r="H1396" s="153"/>
      <c r="I1396" s="153"/>
      <c r="J1396" s="153"/>
      <c r="K1396" s="153"/>
      <c r="L1396" s="153"/>
      <c r="M1396" s="153"/>
      <c r="N1396" s="153"/>
    </row>
    <row r="1397" spans="2:14" ht="20">
      <c r="B1397" s="153"/>
      <c r="C1397" s="153"/>
      <c r="D1397" s="153"/>
      <c r="E1397" s="153"/>
      <c r="F1397" s="153"/>
      <c r="G1397" s="153"/>
      <c r="H1397" s="153"/>
      <c r="I1397" s="153"/>
      <c r="J1397" s="153"/>
      <c r="K1397" s="153"/>
      <c r="L1397" s="153"/>
      <c r="M1397" s="153"/>
      <c r="N1397" s="153"/>
    </row>
    <row r="1398" spans="2:14" ht="20">
      <c r="B1398" s="153"/>
      <c r="C1398" s="153"/>
      <c r="D1398" s="153"/>
      <c r="E1398" s="153"/>
      <c r="F1398" s="153"/>
      <c r="G1398" s="153"/>
      <c r="H1398" s="153"/>
      <c r="I1398" s="153"/>
      <c r="J1398" s="153"/>
      <c r="K1398" s="153"/>
      <c r="L1398" s="153"/>
      <c r="M1398" s="153"/>
      <c r="N1398" s="153"/>
    </row>
    <row r="1399" spans="2:14" ht="20">
      <c r="B1399" s="153"/>
      <c r="C1399" s="153"/>
      <c r="D1399" s="153"/>
      <c r="E1399" s="153"/>
      <c r="F1399" s="153"/>
      <c r="G1399" s="153"/>
      <c r="H1399" s="153"/>
      <c r="I1399" s="153"/>
      <c r="J1399" s="153"/>
      <c r="K1399" s="153"/>
      <c r="L1399" s="153"/>
      <c r="M1399" s="153"/>
      <c r="N1399" s="153"/>
    </row>
    <row r="1400" spans="2:14" ht="20">
      <c r="B1400" s="153"/>
      <c r="C1400" s="153"/>
      <c r="D1400" s="153"/>
      <c r="E1400" s="153"/>
      <c r="F1400" s="153"/>
      <c r="G1400" s="153"/>
      <c r="H1400" s="153"/>
      <c r="I1400" s="153"/>
      <c r="J1400" s="153"/>
      <c r="K1400" s="153"/>
      <c r="L1400" s="153"/>
      <c r="M1400" s="153"/>
      <c r="N1400" s="153"/>
    </row>
    <row r="1401" spans="2:14" ht="20">
      <c r="B1401" s="153"/>
      <c r="C1401" s="153"/>
      <c r="D1401" s="153"/>
      <c r="E1401" s="153"/>
      <c r="F1401" s="153"/>
      <c r="G1401" s="153"/>
      <c r="H1401" s="153"/>
      <c r="I1401" s="153"/>
      <c r="J1401" s="153"/>
      <c r="K1401" s="153"/>
      <c r="L1401" s="153"/>
      <c r="M1401" s="153"/>
      <c r="N1401" s="153"/>
    </row>
    <row r="1402" spans="2:14" ht="20">
      <c r="B1402" s="153"/>
      <c r="C1402" s="153"/>
      <c r="D1402" s="153"/>
      <c r="E1402" s="153"/>
      <c r="F1402" s="153"/>
      <c r="G1402" s="153"/>
      <c r="H1402" s="153"/>
      <c r="I1402" s="153"/>
      <c r="J1402" s="153"/>
      <c r="K1402" s="153"/>
      <c r="L1402" s="153"/>
      <c r="M1402" s="153"/>
      <c r="N1402" s="153"/>
    </row>
    <row r="1403" spans="2:14" ht="20">
      <c r="B1403" s="153"/>
      <c r="C1403" s="153"/>
      <c r="D1403" s="153"/>
      <c r="E1403" s="153"/>
      <c r="F1403" s="153"/>
      <c r="G1403" s="153"/>
      <c r="H1403" s="153"/>
      <c r="I1403" s="153"/>
      <c r="J1403" s="153"/>
      <c r="K1403" s="153"/>
      <c r="L1403" s="153"/>
      <c r="M1403" s="153"/>
      <c r="N1403" s="153"/>
    </row>
    <row r="1404" spans="2:14" ht="20">
      <c r="B1404" s="153"/>
      <c r="C1404" s="153"/>
      <c r="D1404" s="153"/>
      <c r="E1404" s="153"/>
      <c r="F1404" s="153"/>
      <c r="G1404" s="153"/>
      <c r="H1404" s="153"/>
      <c r="I1404" s="153"/>
      <c r="J1404" s="153"/>
      <c r="K1404" s="153"/>
      <c r="L1404" s="153"/>
      <c r="M1404" s="153"/>
      <c r="N1404" s="153"/>
    </row>
    <row r="1405" spans="2:14" ht="20">
      <c r="B1405" s="153"/>
      <c r="C1405" s="153"/>
      <c r="D1405" s="153"/>
      <c r="E1405" s="153"/>
      <c r="F1405" s="153"/>
      <c r="G1405" s="153"/>
      <c r="H1405" s="153"/>
      <c r="I1405" s="153"/>
      <c r="J1405" s="153"/>
      <c r="K1405" s="153"/>
      <c r="L1405" s="153"/>
      <c r="M1405" s="153"/>
      <c r="N1405" s="153"/>
    </row>
    <row r="1406" spans="2:14" ht="20">
      <c r="B1406" s="153"/>
      <c r="C1406" s="153"/>
      <c r="D1406" s="153"/>
      <c r="E1406" s="153"/>
      <c r="F1406" s="153"/>
      <c r="G1406" s="153"/>
      <c r="H1406" s="153"/>
      <c r="I1406" s="153"/>
      <c r="J1406" s="153"/>
      <c r="K1406" s="153"/>
      <c r="L1406" s="153"/>
      <c r="M1406" s="153"/>
      <c r="N1406" s="153"/>
    </row>
    <row r="1407" spans="2:14" ht="20">
      <c r="B1407" s="153"/>
      <c r="C1407" s="153"/>
      <c r="D1407" s="153"/>
      <c r="E1407" s="153"/>
      <c r="F1407" s="153"/>
      <c r="G1407" s="153"/>
      <c r="H1407" s="153"/>
      <c r="I1407" s="153"/>
      <c r="J1407" s="153"/>
      <c r="K1407" s="153"/>
      <c r="L1407" s="153"/>
      <c r="M1407" s="153"/>
      <c r="N1407" s="153"/>
    </row>
    <row r="1408" spans="2:14" ht="20">
      <c r="B1408" s="153"/>
      <c r="C1408" s="153"/>
      <c r="D1408" s="153"/>
      <c r="E1408" s="153"/>
      <c r="F1408" s="153"/>
      <c r="G1408" s="153"/>
      <c r="H1408" s="153"/>
      <c r="I1408" s="153"/>
      <c r="J1408" s="153"/>
      <c r="K1408" s="153"/>
      <c r="L1408" s="153"/>
      <c r="M1408" s="153"/>
      <c r="N1408" s="153"/>
    </row>
    <row r="1409" spans="2:14" ht="20">
      <c r="B1409" s="153"/>
      <c r="C1409" s="153"/>
      <c r="D1409" s="153"/>
      <c r="E1409" s="153"/>
      <c r="F1409" s="153"/>
      <c r="G1409" s="153"/>
      <c r="H1409" s="153"/>
      <c r="I1409" s="153"/>
      <c r="J1409" s="153"/>
      <c r="K1409" s="153"/>
      <c r="L1409" s="153"/>
      <c r="M1409" s="153"/>
      <c r="N1409" s="153"/>
    </row>
    <row r="1410" spans="2:14" ht="20">
      <c r="B1410" s="153"/>
      <c r="C1410" s="153"/>
      <c r="D1410" s="153"/>
      <c r="E1410" s="153"/>
      <c r="F1410" s="153"/>
      <c r="G1410" s="153"/>
      <c r="H1410" s="153"/>
      <c r="I1410" s="153"/>
      <c r="J1410" s="153"/>
      <c r="K1410" s="153"/>
      <c r="L1410" s="153"/>
      <c r="M1410" s="153"/>
      <c r="N1410" s="153"/>
    </row>
    <row r="1411" spans="2:14" ht="20">
      <c r="B1411" s="153"/>
      <c r="C1411" s="153"/>
      <c r="D1411" s="153"/>
      <c r="E1411" s="153"/>
      <c r="F1411" s="153"/>
      <c r="G1411" s="153"/>
      <c r="H1411" s="153"/>
      <c r="I1411" s="153"/>
      <c r="J1411" s="153"/>
      <c r="K1411" s="153"/>
      <c r="L1411" s="153"/>
      <c r="M1411" s="153"/>
      <c r="N1411" s="153"/>
    </row>
    <row r="1412" spans="2:14" ht="20">
      <c r="B1412" s="153"/>
      <c r="C1412" s="153"/>
      <c r="D1412" s="153"/>
      <c r="E1412" s="153"/>
      <c r="F1412" s="153"/>
      <c r="G1412" s="153"/>
      <c r="H1412" s="153"/>
      <c r="I1412" s="153"/>
      <c r="J1412" s="153"/>
      <c r="K1412" s="153"/>
      <c r="L1412" s="153"/>
      <c r="M1412" s="153"/>
      <c r="N1412" s="153"/>
    </row>
    <row r="1413" spans="2:14" ht="20">
      <c r="B1413" s="153"/>
      <c r="C1413" s="153"/>
      <c r="D1413" s="153"/>
      <c r="E1413" s="153"/>
      <c r="F1413" s="153"/>
      <c r="G1413" s="153"/>
      <c r="H1413" s="153"/>
      <c r="I1413" s="153"/>
      <c r="J1413" s="153"/>
      <c r="K1413" s="153"/>
      <c r="L1413" s="153"/>
      <c r="M1413" s="153"/>
      <c r="N1413" s="153"/>
    </row>
    <row r="1414" spans="2:14" ht="20">
      <c r="B1414" s="153"/>
      <c r="C1414" s="153"/>
      <c r="D1414" s="153"/>
      <c r="E1414" s="153"/>
      <c r="F1414" s="153"/>
      <c r="G1414" s="153"/>
      <c r="H1414" s="153"/>
      <c r="I1414" s="153"/>
      <c r="J1414" s="153"/>
      <c r="K1414" s="153"/>
      <c r="L1414" s="153"/>
      <c r="M1414" s="153"/>
      <c r="N1414" s="153"/>
    </row>
    <row r="1415" spans="2:14" ht="20">
      <c r="B1415" s="153"/>
      <c r="C1415" s="153"/>
      <c r="D1415" s="153"/>
      <c r="E1415" s="153"/>
      <c r="F1415" s="153"/>
      <c r="G1415" s="153"/>
      <c r="H1415" s="153"/>
      <c r="I1415" s="153"/>
      <c r="J1415" s="153"/>
      <c r="K1415" s="153"/>
      <c r="L1415" s="153"/>
      <c r="M1415" s="153"/>
      <c r="N1415" s="153"/>
    </row>
    <row r="1416" spans="2:14" ht="20">
      <c r="B1416" s="153"/>
      <c r="C1416" s="153"/>
      <c r="D1416" s="153"/>
      <c r="E1416" s="153"/>
      <c r="F1416" s="153"/>
      <c r="G1416" s="153"/>
      <c r="H1416" s="153"/>
      <c r="I1416" s="153"/>
      <c r="J1416" s="153"/>
      <c r="K1416" s="153"/>
      <c r="L1416" s="153"/>
      <c r="M1416" s="153"/>
      <c r="N1416" s="153"/>
    </row>
    <row r="1417" spans="2:14" ht="20">
      <c r="B1417" s="153"/>
      <c r="C1417" s="153"/>
      <c r="D1417" s="153"/>
      <c r="E1417" s="153"/>
      <c r="F1417" s="153"/>
      <c r="G1417" s="153"/>
      <c r="H1417" s="153"/>
      <c r="I1417" s="153"/>
      <c r="J1417" s="153"/>
      <c r="K1417" s="153"/>
      <c r="L1417" s="153"/>
      <c r="M1417" s="153"/>
      <c r="N1417" s="153"/>
    </row>
    <row r="1418" spans="2:14" ht="20">
      <c r="B1418" s="153"/>
      <c r="C1418" s="153"/>
      <c r="D1418" s="153"/>
      <c r="E1418" s="153"/>
      <c r="F1418" s="153"/>
      <c r="G1418" s="153"/>
      <c r="H1418" s="153"/>
      <c r="I1418" s="153"/>
      <c r="J1418" s="153"/>
      <c r="K1418" s="153"/>
      <c r="L1418" s="153"/>
      <c r="M1418" s="153"/>
      <c r="N1418" s="153"/>
    </row>
    <row r="1419" spans="2:14" ht="20">
      <c r="B1419" s="153"/>
      <c r="C1419" s="153"/>
      <c r="D1419" s="153"/>
      <c r="E1419" s="153"/>
      <c r="F1419" s="153"/>
      <c r="G1419" s="153"/>
      <c r="H1419" s="153"/>
      <c r="I1419" s="153"/>
      <c r="J1419" s="153"/>
      <c r="K1419" s="153"/>
      <c r="L1419" s="153"/>
      <c r="M1419" s="153"/>
      <c r="N1419" s="153"/>
    </row>
    <row r="1420" spans="2:14" ht="20">
      <c r="B1420" s="153"/>
      <c r="C1420" s="153"/>
      <c r="D1420" s="153"/>
      <c r="E1420" s="153"/>
      <c r="F1420" s="153"/>
      <c r="G1420" s="153"/>
      <c r="H1420" s="153"/>
      <c r="I1420" s="153"/>
      <c r="J1420" s="153"/>
      <c r="K1420" s="153"/>
      <c r="L1420" s="153"/>
      <c r="M1420" s="153"/>
      <c r="N1420" s="153"/>
    </row>
    <row r="1421" spans="2:14" ht="20">
      <c r="B1421" s="153"/>
      <c r="C1421" s="153"/>
      <c r="D1421" s="153"/>
      <c r="E1421" s="153"/>
      <c r="F1421" s="153"/>
      <c r="G1421" s="153"/>
      <c r="H1421" s="153"/>
      <c r="I1421" s="153"/>
      <c r="J1421" s="153"/>
      <c r="K1421" s="153"/>
      <c r="L1421" s="153"/>
      <c r="M1421" s="153"/>
      <c r="N1421" s="153"/>
    </row>
    <row r="1422" spans="2:14" ht="20">
      <c r="B1422" s="153"/>
      <c r="C1422" s="153"/>
      <c r="D1422" s="153"/>
      <c r="E1422" s="153"/>
      <c r="F1422" s="153"/>
      <c r="G1422" s="153"/>
      <c r="H1422" s="153"/>
      <c r="I1422" s="153"/>
      <c r="J1422" s="153"/>
      <c r="K1422" s="153"/>
      <c r="L1422" s="153"/>
      <c r="M1422" s="153"/>
      <c r="N1422" s="153"/>
    </row>
    <row r="1423" spans="2:14" ht="20">
      <c r="B1423" s="153"/>
      <c r="C1423" s="153"/>
      <c r="D1423" s="153"/>
      <c r="E1423" s="153"/>
      <c r="F1423" s="153"/>
      <c r="G1423" s="153"/>
      <c r="H1423" s="153"/>
      <c r="I1423" s="153"/>
      <c r="J1423" s="153"/>
      <c r="K1423" s="153"/>
      <c r="L1423" s="153"/>
      <c r="M1423" s="153"/>
      <c r="N1423" s="153"/>
    </row>
    <row r="1424" spans="2:14" ht="20">
      <c r="B1424" s="153"/>
      <c r="C1424" s="153"/>
      <c r="D1424" s="153"/>
      <c r="E1424" s="153"/>
      <c r="F1424" s="153"/>
      <c r="G1424" s="153"/>
      <c r="H1424" s="153"/>
      <c r="I1424" s="153"/>
      <c r="J1424" s="153"/>
      <c r="K1424" s="153"/>
      <c r="L1424" s="153"/>
      <c r="M1424" s="153"/>
      <c r="N1424" s="153"/>
    </row>
    <row r="1425" spans="2:14" ht="20">
      <c r="B1425" s="153"/>
      <c r="C1425" s="153"/>
      <c r="D1425" s="153"/>
      <c r="E1425" s="153"/>
      <c r="F1425" s="153"/>
      <c r="G1425" s="153"/>
      <c r="H1425" s="153"/>
      <c r="I1425" s="153"/>
      <c r="J1425" s="153"/>
      <c r="K1425" s="153"/>
      <c r="L1425" s="153"/>
      <c r="M1425" s="153"/>
      <c r="N1425" s="153"/>
    </row>
    <row r="1426" spans="2:14" ht="20">
      <c r="B1426" s="153"/>
      <c r="C1426" s="153"/>
      <c r="D1426" s="153"/>
      <c r="E1426" s="153"/>
      <c r="F1426" s="153"/>
      <c r="G1426" s="153"/>
      <c r="H1426" s="153"/>
      <c r="I1426" s="153"/>
      <c r="J1426" s="153"/>
      <c r="K1426" s="153"/>
      <c r="L1426" s="153"/>
      <c r="M1426" s="153"/>
      <c r="N1426" s="153"/>
    </row>
    <row r="1427" spans="2:14" ht="20">
      <c r="B1427" s="153"/>
      <c r="C1427" s="153"/>
      <c r="D1427" s="153"/>
      <c r="E1427" s="153"/>
      <c r="F1427" s="153"/>
      <c r="G1427" s="153"/>
      <c r="H1427" s="153"/>
      <c r="I1427" s="153"/>
      <c r="J1427" s="153"/>
      <c r="K1427" s="153"/>
      <c r="L1427" s="153"/>
      <c r="M1427" s="153"/>
      <c r="N1427" s="153"/>
    </row>
    <row r="1428" spans="2:14" ht="20">
      <c r="B1428" s="153"/>
      <c r="C1428" s="153"/>
      <c r="D1428" s="153"/>
      <c r="E1428" s="153"/>
      <c r="F1428" s="153"/>
      <c r="G1428" s="153"/>
      <c r="H1428" s="153"/>
      <c r="I1428" s="153"/>
      <c r="J1428" s="153"/>
      <c r="K1428" s="153"/>
      <c r="L1428" s="153"/>
      <c r="M1428" s="153"/>
      <c r="N1428" s="153"/>
    </row>
    <row r="1429" spans="2:14" ht="20">
      <c r="B1429" s="153"/>
      <c r="C1429" s="153"/>
      <c r="D1429" s="153"/>
      <c r="E1429" s="153"/>
      <c r="F1429" s="153"/>
      <c r="G1429" s="153"/>
      <c r="H1429" s="153"/>
      <c r="I1429" s="153"/>
      <c r="J1429" s="153"/>
      <c r="K1429" s="153"/>
      <c r="L1429" s="153"/>
      <c r="M1429" s="153"/>
      <c r="N1429" s="153"/>
    </row>
    <row r="1430" spans="2:14" ht="20">
      <c r="B1430" s="153"/>
      <c r="C1430" s="153"/>
      <c r="D1430" s="153"/>
      <c r="E1430" s="153"/>
      <c r="F1430" s="153"/>
      <c r="G1430" s="153"/>
      <c r="H1430" s="153"/>
      <c r="I1430" s="153"/>
      <c r="J1430" s="153"/>
      <c r="K1430" s="153"/>
      <c r="L1430" s="153"/>
      <c r="M1430" s="153"/>
      <c r="N1430" s="153"/>
    </row>
    <row r="1431" spans="2:14" ht="20">
      <c r="B1431" s="153"/>
      <c r="C1431" s="153"/>
      <c r="D1431" s="153"/>
      <c r="E1431" s="153"/>
      <c r="F1431" s="153"/>
      <c r="G1431" s="153"/>
      <c r="H1431" s="153"/>
      <c r="I1431" s="153"/>
      <c r="J1431" s="153"/>
      <c r="K1431" s="153"/>
      <c r="L1431" s="153"/>
      <c r="M1431" s="153"/>
      <c r="N1431" s="153"/>
    </row>
    <row r="1432" spans="2:14" ht="20">
      <c r="B1432" s="153"/>
      <c r="C1432" s="153"/>
      <c r="D1432" s="153"/>
      <c r="E1432" s="153"/>
      <c r="F1432" s="153"/>
      <c r="G1432" s="153"/>
      <c r="H1432" s="153"/>
      <c r="I1432" s="153"/>
      <c r="J1432" s="153"/>
      <c r="K1432" s="153"/>
      <c r="L1432" s="153"/>
      <c r="M1432" s="153"/>
      <c r="N1432" s="153"/>
    </row>
    <row r="1433" spans="2:14" ht="20">
      <c r="B1433" s="153"/>
      <c r="C1433" s="153"/>
      <c r="D1433" s="153"/>
      <c r="E1433" s="153"/>
      <c r="F1433" s="153"/>
      <c r="G1433" s="153"/>
      <c r="H1433" s="153"/>
      <c r="I1433" s="153"/>
      <c r="J1433" s="153"/>
      <c r="K1433" s="153"/>
      <c r="L1433" s="153"/>
      <c r="M1433" s="153"/>
      <c r="N1433" s="153"/>
    </row>
    <row r="1434" spans="2:14" ht="20">
      <c r="B1434" s="153"/>
      <c r="C1434" s="153"/>
      <c r="D1434" s="153"/>
      <c r="E1434" s="153"/>
      <c r="F1434" s="153"/>
      <c r="G1434" s="153"/>
      <c r="H1434" s="153"/>
      <c r="I1434" s="153"/>
      <c r="J1434" s="153"/>
      <c r="K1434" s="153"/>
      <c r="L1434" s="153"/>
      <c r="M1434" s="153"/>
      <c r="N1434" s="153"/>
    </row>
    <row r="1435" spans="2:14" ht="20">
      <c r="B1435" s="153"/>
      <c r="C1435" s="153"/>
      <c r="D1435" s="153"/>
      <c r="E1435" s="153"/>
      <c r="F1435" s="153"/>
      <c r="G1435" s="153"/>
      <c r="H1435" s="153"/>
      <c r="I1435" s="153"/>
      <c r="J1435" s="153"/>
      <c r="K1435" s="153"/>
      <c r="L1435" s="153"/>
      <c r="M1435" s="153"/>
      <c r="N1435" s="153"/>
    </row>
    <row r="1436" spans="2:14" ht="20">
      <c r="B1436" s="153"/>
      <c r="C1436" s="153"/>
      <c r="D1436" s="153"/>
      <c r="E1436" s="153"/>
      <c r="F1436" s="153"/>
      <c r="G1436" s="153"/>
      <c r="H1436" s="153"/>
      <c r="I1436" s="153"/>
      <c r="J1436" s="153"/>
      <c r="K1436" s="153"/>
      <c r="L1436" s="153"/>
      <c r="M1436" s="153"/>
      <c r="N1436" s="153"/>
    </row>
    <row r="1437" spans="2:14" ht="20">
      <c r="B1437" s="153"/>
      <c r="C1437" s="153"/>
      <c r="D1437" s="153"/>
      <c r="E1437" s="153"/>
      <c r="F1437" s="153"/>
      <c r="G1437" s="153"/>
      <c r="H1437" s="153"/>
      <c r="I1437" s="153"/>
      <c r="J1437" s="153"/>
      <c r="K1437" s="153"/>
      <c r="L1437" s="153"/>
      <c r="M1437" s="153"/>
      <c r="N1437" s="153"/>
    </row>
    <row r="1438" spans="2:14" ht="20">
      <c r="B1438" s="153"/>
      <c r="C1438" s="153"/>
      <c r="D1438" s="153"/>
      <c r="E1438" s="153"/>
      <c r="F1438" s="153"/>
      <c r="G1438" s="153"/>
      <c r="H1438" s="153"/>
      <c r="I1438" s="153"/>
      <c r="J1438" s="153"/>
      <c r="K1438" s="153"/>
      <c r="L1438" s="153"/>
      <c r="M1438" s="153"/>
      <c r="N1438" s="153"/>
    </row>
    <row r="1439" spans="2:14" ht="20">
      <c r="B1439" s="153"/>
      <c r="C1439" s="153"/>
      <c r="D1439" s="153"/>
      <c r="E1439" s="153"/>
      <c r="F1439" s="153"/>
      <c r="G1439" s="153"/>
      <c r="H1439" s="153"/>
      <c r="I1439" s="153"/>
      <c r="J1439" s="153"/>
      <c r="K1439" s="153"/>
      <c r="L1439" s="153"/>
      <c r="M1439" s="153"/>
      <c r="N1439" s="153"/>
    </row>
    <row r="1440" spans="2:14" ht="20">
      <c r="B1440" s="153"/>
      <c r="C1440" s="153"/>
      <c r="D1440" s="153"/>
      <c r="E1440" s="153"/>
      <c r="F1440" s="153"/>
      <c r="G1440" s="153"/>
      <c r="H1440" s="153"/>
      <c r="I1440" s="153"/>
      <c r="J1440" s="153"/>
      <c r="K1440" s="153"/>
      <c r="L1440" s="153"/>
      <c r="M1440" s="153"/>
      <c r="N1440" s="153"/>
    </row>
    <row r="1441" spans="2:14" ht="20">
      <c r="B1441" s="153"/>
      <c r="C1441" s="153"/>
      <c r="D1441" s="153"/>
      <c r="E1441" s="153"/>
      <c r="F1441" s="153"/>
      <c r="G1441" s="153"/>
      <c r="H1441" s="153"/>
      <c r="I1441" s="153"/>
      <c r="J1441" s="153"/>
      <c r="K1441" s="153"/>
      <c r="L1441" s="153"/>
      <c r="M1441" s="153"/>
      <c r="N1441" s="153"/>
    </row>
    <row r="1442" spans="2:14" ht="20">
      <c r="B1442" s="153"/>
      <c r="C1442" s="153"/>
      <c r="D1442" s="153"/>
      <c r="E1442" s="153"/>
      <c r="F1442" s="153"/>
      <c r="G1442" s="153"/>
      <c r="H1442" s="153"/>
      <c r="I1442" s="153"/>
      <c r="J1442" s="153"/>
      <c r="K1442" s="153"/>
      <c r="L1442" s="153"/>
      <c r="M1442" s="153"/>
      <c r="N1442" s="153"/>
    </row>
    <row r="1443" spans="2:14" ht="20">
      <c r="B1443" s="153"/>
      <c r="C1443" s="153"/>
      <c r="D1443" s="153"/>
      <c r="E1443" s="153"/>
      <c r="F1443" s="153"/>
      <c r="G1443" s="153"/>
      <c r="H1443" s="153"/>
      <c r="I1443" s="153"/>
      <c r="J1443" s="153"/>
      <c r="K1443" s="153"/>
      <c r="L1443" s="153"/>
      <c r="M1443" s="153"/>
      <c r="N1443" s="153"/>
    </row>
    <row r="1444" spans="2:14" ht="20">
      <c r="B1444" s="153"/>
      <c r="C1444" s="153"/>
      <c r="D1444" s="153"/>
      <c r="E1444" s="153"/>
      <c r="F1444" s="153"/>
      <c r="G1444" s="153"/>
      <c r="H1444" s="153"/>
      <c r="I1444" s="153"/>
      <c r="J1444" s="153"/>
      <c r="K1444" s="153"/>
      <c r="L1444" s="153"/>
      <c r="M1444" s="153"/>
      <c r="N1444" s="153"/>
    </row>
    <row r="1445" spans="2:14" ht="20">
      <c r="B1445" s="153"/>
      <c r="C1445" s="153"/>
      <c r="D1445" s="153"/>
      <c r="E1445" s="153"/>
      <c r="F1445" s="153"/>
      <c r="G1445" s="153"/>
      <c r="H1445" s="153"/>
      <c r="I1445" s="153"/>
      <c r="J1445" s="153"/>
      <c r="K1445" s="153"/>
      <c r="L1445" s="153"/>
      <c r="M1445" s="153"/>
      <c r="N1445" s="153"/>
    </row>
    <row r="1446" spans="2:14" ht="20">
      <c r="B1446" s="153"/>
      <c r="C1446" s="153"/>
      <c r="D1446" s="153"/>
      <c r="E1446" s="153"/>
      <c r="F1446" s="153"/>
      <c r="G1446" s="153"/>
      <c r="H1446" s="153"/>
      <c r="I1446" s="153"/>
      <c r="J1446" s="153"/>
      <c r="K1446" s="153"/>
      <c r="L1446" s="153"/>
      <c r="M1446" s="153"/>
      <c r="N1446" s="153"/>
    </row>
    <row r="1447" spans="2:14" ht="20">
      <c r="B1447" s="153"/>
      <c r="C1447" s="153"/>
      <c r="D1447" s="153"/>
      <c r="E1447" s="153"/>
      <c r="F1447" s="153"/>
      <c r="G1447" s="153"/>
      <c r="H1447" s="153"/>
      <c r="I1447" s="153"/>
      <c r="J1447" s="153"/>
      <c r="K1447" s="153"/>
      <c r="L1447" s="153"/>
      <c r="M1447" s="153"/>
      <c r="N1447" s="153"/>
    </row>
    <row r="1448" spans="2:14" ht="20">
      <c r="B1448" s="153"/>
      <c r="C1448" s="153"/>
      <c r="D1448" s="153"/>
      <c r="E1448" s="153"/>
      <c r="F1448" s="153"/>
      <c r="G1448" s="153"/>
      <c r="H1448" s="153"/>
      <c r="I1448" s="153"/>
      <c r="J1448" s="153"/>
      <c r="K1448" s="153"/>
      <c r="L1448" s="153"/>
      <c r="M1448" s="153"/>
      <c r="N1448" s="153"/>
    </row>
    <row r="1449" spans="2:14" ht="20">
      <c r="B1449" s="153"/>
      <c r="C1449" s="153"/>
      <c r="D1449" s="153"/>
      <c r="E1449" s="153"/>
      <c r="F1449" s="153"/>
      <c r="G1449" s="153"/>
      <c r="H1449" s="153"/>
      <c r="I1449" s="153"/>
      <c r="J1449" s="153"/>
      <c r="K1449" s="153"/>
      <c r="L1449" s="153"/>
      <c r="M1449" s="153"/>
      <c r="N1449" s="153"/>
    </row>
    <row r="1450" spans="2:14" ht="20">
      <c r="B1450" s="153"/>
      <c r="C1450" s="153"/>
      <c r="D1450" s="153"/>
      <c r="E1450" s="153"/>
      <c r="F1450" s="153"/>
      <c r="G1450" s="153"/>
      <c r="H1450" s="153"/>
      <c r="I1450" s="153"/>
      <c r="J1450" s="153"/>
      <c r="K1450" s="153"/>
      <c r="L1450" s="153"/>
      <c r="M1450" s="153"/>
      <c r="N1450" s="153"/>
    </row>
    <row r="1451" spans="2:14" ht="20">
      <c r="B1451" s="153"/>
      <c r="C1451" s="153"/>
      <c r="D1451" s="153"/>
      <c r="E1451" s="153"/>
      <c r="F1451" s="153"/>
      <c r="G1451" s="153"/>
      <c r="H1451" s="153"/>
      <c r="I1451" s="153"/>
      <c r="J1451" s="153"/>
      <c r="K1451" s="153"/>
      <c r="L1451" s="153"/>
      <c r="M1451" s="153"/>
      <c r="N1451" s="153"/>
    </row>
    <row r="1452" spans="2:14" ht="20">
      <c r="B1452" s="153"/>
      <c r="C1452" s="153"/>
      <c r="D1452" s="153"/>
      <c r="E1452" s="153"/>
      <c r="F1452" s="153"/>
      <c r="G1452" s="153"/>
      <c r="H1452" s="153"/>
      <c r="I1452" s="153"/>
      <c r="J1452" s="153"/>
      <c r="K1452" s="153"/>
      <c r="L1452" s="153"/>
      <c r="M1452" s="153"/>
      <c r="N1452" s="153"/>
    </row>
    <row r="1453" spans="2:14" ht="20">
      <c r="B1453" s="153"/>
      <c r="C1453" s="153"/>
      <c r="D1453" s="153"/>
      <c r="E1453" s="153"/>
      <c r="F1453" s="153"/>
      <c r="G1453" s="153"/>
      <c r="H1453" s="153"/>
      <c r="I1453" s="153"/>
      <c r="J1453" s="153"/>
      <c r="K1453" s="153"/>
      <c r="L1453" s="153"/>
      <c r="M1453" s="153"/>
      <c r="N1453" s="153"/>
    </row>
    <row r="1454" spans="2:14" ht="20">
      <c r="B1454" s="153"/>
      <c r="C1454" s="153"/>
      <c r="D1454" s="153"/>
      <c r="E1454" s="153"/>
      <c r="F1454" s="153"/>
      <c r="G1454" s="153"/>
      <c r="H1454" s="153"/>
      <c r="I1454" s="153"/>
      <c r="J1454" s="153"/>
      <c r="K1454" s="153"/>
      <c r="L1454" s="153"/>
      <c r="M1454" s="153"/>
      <c r="N1454" s="153"/>
    </row>
    <row r="1455" spans="2:14" ht="20">
      <c r="B1455" s="153"/>
      <c r="C1455" s="153"/>
      <c r="D1455" s="153"/>
      <c r="E1455" s="153"/>
      <c r="F1455" s="153"/>
      <c r="G1455" s="153"/>
      <c r="H1455" s="153"/>
      <c r="I1455" s="153"/>
      <c r="J1455" s="153"/>
      <c r="K1455" s="153"/>
      <c r="L1455" s="153"/>
      <c r="M1455" s="153"/>
      <c r="N1455" s="153"/>
    </row>
    <row r="1456" spans="2:14" ht="20">
      <c r="B1456" s="153"/>
      <c r="C1456" s="153"/>
      <c r="D1456" s="153"/>
      <c r="E1456" s="153"/>
      <c r="F1456" s="153"/>
      <c r="G1456" s="153"/>
      <c r="H1456" s="153"/>
      <c r="I1456" s="153"/>
      <c r="J1456" s="153"/>
      <c r="K1456" s="153"/>
      <c r="L1456" s="153"/>
      <c r="M1456" s="153"/>
      <c r="N1456" s="153"/>
    </row>
    <row r="1457" spans="2:14" ht="20">
      <c r="B1457" s="153"/>
      <c r="C1457" s="153"/>
      <c r="D1457" s="153"/>
      <c r="E1457" s="153"/>
      <c r="F1457" s="153"/>
      <c r="G1457" s="153"/>
      <c r="H1457" s="153"/>
      <c r="I1457" s="153"/>
      <c r="J1457" s="153"/>
      <c r="K1457" s="153"/>
      <c r="L1457" s="153"/>
      <c r="M1457" s="153"/>
      <c r="N1457" s="153"/>
    </row>
    <row r="1458" spans="2:14" ht="20">
      <c r="B1458" s="153"/>
      <c r="C1458" s="153"/>
      <c r="D1458" s="153"/>
      <c r="E1458" s="153"/>
      <c r="F1458" s="153"/>
      <c r="G1458" s="153"/>
      <c r="H1458" s="153"/>
      <c r="I1458" s="153"/>
      <c r="J1458" s="153"/>
      <c r="K1458" s="153"/>
      <c r="L1458" s="153"/>
      <c r="M1458" s="153"/>
      <c r="N1458" s="153"/>
    </row>
    <row r="1459" spans="2:14" ht="20">
      <c r="B1459" s="153"/>
      <c r="C1459" s="153"/>
      <c r="D1459" s="153"/>
      <c r="E1459" s="153"/>
      <c r="F1459" s="153"/>
      <c r="G1459" s="153"/>
      <c r="H1459" s="153"/>
      <c r="I1459" s="153"/>
      <c r="J1459" s="153"/>
      <c r="K1459" s="153"/>
      <c r="L1459" s="153"/>
      <c r="M1459" s="153"/>
      <c r="N1459" s="153"/>
    </row>
    <row r="1460" spans="2:14" ht="20">
      <c r="B1460" s="153"/>
      <c r="C1460" s="153"/>
      <c r="D1460" s="153"/>
      <c r="E1460" s="153"/>
      <c r="F1460" s="153"/>
      <c r="G1460" s="153"/>
      <c r="H1460" s="153"/>
      <c r="I1460" s="153"/>
      <c r="J1460" s="153"/>
      <c r="K1460" s="153"/>
      <c r="L1460" s="153"/>
      <c r="M1460" s="153"/>
      <c r="N1460" s="153"/>
    </row>
    <row r="1461" spans="2:14" ht="20">
      <c r="B1461" s="153"/>
      <c r="C1461" s="153"/>
      <c r="D1461" s="153"/>
      <c r="E1461" s="153"/>
      <c r="F1461" s="153"/>
      <c r="G1461" s="153"/>
      <c r="H1461" s="153"/>
      <c r="I1461" s="153"/>
      <c r="J1461" s="153"/>
      <c r="K1461" s="153"/>
      <c r="L1461" s="153"/>
      <c r="M1461" s="153"/>
      <c r="N1461" s="153"/>
    </row>
    <row r="1462" spans="2:14" ht="20">
      <c r="B1462" s="153"/>
      <c r="C1462" s="153"/>
      <c r="D1462" s="153"/>
      <c r="E1462" s="153"/>
      <c r="F1462" s="153"/>
      <c r="G1462" s="153"/>
      <c r="H1462" s="153"/>
      <c r="I1462" s="153"/>
      <c r="J1462" s="153"/>
      <c r="K1462" s="153"/>
      <c r="L1462" s="153"/>
      <c r="M1462" s="153"/>
      <c r="N1462" s="153"/>
    </row>
    <row r="1463" spans="2:14" ht="20">
      <c r="B1463" s="153"/>
      <c r="C1463" s="153"/>
      <c r="D1463" s="153"/>
      <c r="E1463" s="153"/>
      <c r="F1463" s="153"/>
      <c r="G1463" s="153"/>
      <c r="H1463" s="153"/>
      <c r="I1463" s="153"/>
      <c r="J1463" s="153"/>
      <c r="K1463" s="153"/>
      <c r="L1463" s="153"/>
      <c r="M1463" s="153"/>
      <c r="N1463" s="153"/>
    </row>
    <row r="1464" spans="2:14" ht="20">
      <c r="B1464" s="153"/>
      <c r="C1464" s="153"/>
      <c r="D1464" s="153"/>
      <c r="E1464" s="153"/>
      <c r="F1464" s="153"/>
      <c r="G1464" s="153"/>
      <c r="H1464" s="153"/>
      <c r="I1464" s="153"/>
      <c r="J1464" s="153"/>
      <c r="K1464" s="153"/>
      <c r="L1464" s="153"/>
      <c r="M1464" s="153"/>
      <c r="N1464" s="153"/>
    </row>
    <row r="1465" spans="2:14" ht="20">
      <c r="B1465" s="153"/>
      <c r="C1465" s="153"/>
      <c r="D1465" s="153"/>
      <c r="E1465" s="153"/>
      <c r="F1465" s="153"/>
      <c r="G1465" s="153"/>
      <c r="H1465" s="153"/>
      <c r="I1465" s="153"/>
      <c r="J1465" s="153"/>
      <c r="K1465" s="153"/>
      <c r="L1465" s="153"/>
      <c r="M1465" s="153"/>
      <c r="N1465" s="153"/>
    </row>
    <row r="1466" spans="2:14" ht="20">
      <c r="B1466" s="153"/>
      <c r="C1466" s="153"/>
      <c r="D1466" s="153"/>
      <c r="E1466" s="153"/>
      <c r="F1466" s="153"/>
      <c r="G1466" s="153"/>
      <c r="H1466" s="153"/>
      <c r="I1466" s="153"/>
      <c r="J1466" s="153"/>
      <c r="K1466" s="153"/>
      <c r="L1466" s="153"/>
      <c r="M1466" s="153"/>
      <c r="N1466" s="153"/>
    </row>
    <row r="1467" spans="2:14" ht="20">
      <c r="B1467" s="153"/>
      <c r="C1467" s="153"/>
      <c r="D1467" s="153"/>
      <c r="E1467" s="153"/>
      <c r="F1467" s="153"/>
      <c r="G1467" s="153"/>
      <c r="H1467" s="153"/>
      <c r="I1467" s="153"/>
      <c r="J1467" s="153"/>
      <c r="K1467" s="153"/>
      <c r="L1467" s="153"/>
      <c r="M1467" s="153"/>
      <c r="N1467" s="153"/>
    </row>
    <row r="1468" spans="2:14" ht="20">
      <c r="B1468" s="153"/>
      <c r="C1468" s="153"/>
      <c r="D1468" s="153"/>
      <c r="E1468" s="153"/>
      <c r="F1468" s="153"/>
      <c r="G1468" s="153"/>
      <c r="H1468" s="153"/>
      <c r="I1468" s="153"/>
      <c r="J1468" s="153"/>
      <c r="K1468" s="153"/>
      <c r="L1468" s="153"/>
      <c r="M1468" s="153"/>
      <c r="N1468" s="153"/>
    </row>
    <row r="1469" spans="2:14" ht="20">
      <c r="B1469" s="153"/>
      <c r="C1469" s="153"/>
      <c r="D1469" s="153"/>
      <c r="E1469" s="153"/>
      <c r="F1469" s="153"/>
      <c r="G1469" s="153"/>
      <c r="H1469" s="153"/>
      <c r="I1469" s="153"/>
      <c r="J1469" s="153"/>
      <c r="K1469" s="153"/>
      <c r="L1469" s="153"/>
      <c r="M1469" s="153"/>
      <c r="N1469" s="153"/>
    </row>
    <row r="1470" spans="2:14" ht="20">
      <c r="B1470" s="153"/>
      <c r="C1470" s="153"/>
      <c r="D1470" s="153"/>
      <c r="E1470" s="153"/>
      <c r="F1470" s="153"/>
      <c r="G1470" s="153"/>
      <c r="H1470" s="153"/>
      <c r="I1470" s="153"/>
      <c r="J1470" s="153"/>
      <c r="K1470" s="153"/>
      <c r="L1470" s="153"/>
      <c r="M1470" s="153"/>
      <c r="N1470" s="153"/>
    </row>
    <row r="1471" spans="2:14" ht="20">
      <c r="B1471" s="153"/>
      <c r="C1471" s="153"/>
      <c r="D1471" s="153"/>
      <c r="E1471" s="153"/>
      <c r="F1471" s="153"/>
      <c r="G1471" s="153"/>
      <c r="H1471" s="153"/>
      <c r="I1471" s="153"/>
      <c r="J1471" s="153"/>
      <c r="K1471" s="153"/>
      <c r="L1471" s="153"/>
      <c r="M1471" s="153"/>
      <c r="N1471" s="153"/>
    </row>
    <row r="1472" spans="2:14" ht="20">
      <c r="B1472" s="153"/>
      <c r="C1472" s="153"/>
      <c r="D1472" s="153"/>
      <c r="E1472" s="153"/>
      <c r="F1472" s="153"/>
      <c r="G1472" s="153"/>
      <c r="H1472" s="153"/>
      <c r="I1472" s="153"/>
      <c r="J1472" s="153"/>
      <c r="K1472" s="153"/>
      <c r="L1472" s="153"/>
      <c r="M1472" s="153"/>
      <c r="N1472" s="153"/>
    </row>
    <row r="1473" spans="2:14" ht="20">
      <c r="B1473" s="153"/>
      <c r="C1473" s="153"/>
      <c r="D1473" s="153"/>
      <c r="E1473" s="153"/>
      <c r="F1473" s="153"/>
      <c r="G1473" s="153"/>
      <c r="H1473" s="153"/>
      <c r="I1473" s="153"/>
      <c r="J1473" s="153"/>
      <c r="K1473" s="153"/>
      <c r="L1473" s="153"/>
      <c r="M1473" s="153"/>
      <c r="N1473" s="153"/>
    </row>
    <row r="1474" spans="2:14" ht="20">
      <c r="B1474" s="153"/>
      <c r="C1474" s="153"/>
      <c r="D1474" s="153"/>
      <c r="E1474" s="153"/>
      <c r="F1474" s="153"/>
      <c r="G1474" s="153"/>
      <c r="H1474" s="153"/>
      <c r="I1474" s="153"/>
      <c r="J1474" s="153"/>
      <c r="K1474" s="153"/>
      <c r="L1474" s="153"/>
      <c r="M1474" s="153"/>
      <c r="N1474" s="153"/>
    </row>
    <row r="1475" spans="2:14" ht="20">
      <c r="B1475" s="153"/>
      <c r="C1475" s="153"/>
      <c r="D1475" s="153"/>
      <c r="E1475" s="153"/>
      <c r="F1475" s="153"/>
      <c r="G1475" s="153"/>
      <c r="H1475" s="153"/>
      <c r="I1475" s="153"/>
      <c r="J1475" s="153"/>
      <c r="K1475" s="153"/>
      <c r="L1475" s="153"/>
      <c r="M1475" s="153"/>
      <c r="N1475" s="153"/>
    </row>
    <row r="1476" spans="2:14" ht="20">
      <c r="B1476" s="153"/>
      <c r="C1476" s="153"/>
      <c r="D1476" s="153"/>
      <c r="E1476" s="153"/>
      <c r="F1476" s="153"/>
      <c r="G1476" s="153"/>
      <c r="H1476" s="153"/>
      <c r="I1476" s="153"/>
      <c r="J1476" s="153"/>
      <c r="K1476" s="153"/>
      <c r="L1476" s="153"/>
      <c r="M1476" s="153"/>
      <c r="N1476" s="153"/>
    </row>
    <row r="1477" spans="2:14" ht="20">
      <c r="B1477" s="153"/>
      <c r="C1477" s="153"/>
      <c r="D1477" s="153"/>
      <c r="E1477" s="153"/>
      <c r="F1477" s="153"/>
      <c r="G1477" s="153"/>
      <c r="H1477" s="153"/>
      <c r="I1477" s="153"/>
      <c r="J1477" s="153"/>
      <c r="K1477" s="153"/>
      <c r="L1477" s="153"/>
      <c r="M1477" s="153"/>
      <c r="N1477" s="153"/>
    </row>
    <row r="1478" spans="2:14" ht="20">
      <c r="B1478" s="153"/>
      <c r="C1478" s="153"/>
      <c r="D1478" s="153"/>
      <c r="E1478" s="153"/>
      <c r="F1478" s="153"/>
      <c r="G1478" s="153"/>
      <c r="H1478" s="153"/>
      <c r="I1478" s="153"/>
      <c r="J1478" s="153"/>
      <c r="K1478" s="153"/>
      <c r="L1478" s="153"/>
      <c r="M1478" s="153"/>
      <c r="N1478" s="153"/>
    </row>
    <row r="1479" spans="2:14" ht="20">
      <c r="B1479" s="153"/>
      <c r="C1479" s="153"/>
      <c r="D1479" s="153"/>
      <c r="E1479" s="153"/>
      <c r="F1479" s="153"/>
      <c r="G1479" s="153"/>
      <c r="H1479" s="153"/>
      <c r="I1479" s="153"/>
      <c r="J1479" s="153"/>
      <c r="K1479" s="153"/>
      <c r="L1479" s="153"/>
      <c r="M1479" s="153"/>
      <c r="N1479" s="153"/>
    </row>
    <row r="1480" spans="2:14" ht="20">
      <c r="B1480" s="153"/>
      <c r="C1480" s="153"/>
      <c r="D1480" s="153"/>
      <c r="E1480" s="153"/>
      <c r="F1480" s="153"/>
      <c r="G1480" s="153"/>
      <c r="H1480" s="153"/>
      <c r="I1480" s="153"/>
      <c r="J1480" s="153"/>
      <c r="K1480" s="153"/>
      <c r="L1480" s="153"/>
      <c r="M1480" s="153"/>
      <c r="N1480" s="153"/>
    </row>
    <row r="1481" spans="2:14" ht="20">
      <c r="B1481" s="153"/>
      <c r="C1481" s="153"/>
      <c r="D1481" s="153"/>
      <c r="E1481" s="153"/>
      <c r="F1481" s="153"/>
      <c r="G1481" s="153"/>
      <c r="H1481" s="153"/>
      <c r="I1481" s="153"/>
      <c r="J1481" s="153"/>
      <c r="K1481" s="153"/>
      <c r="L1481" s="153"/>
      <c r="M1481" s="153"/>
      <c r="N1481" s="153"/>
    </row>
    <row r="1482" spans="2:14" ht="20">
      <c r="B1482" s="153"/>
      <c r="C1482" s="153"/>
      <c r="D1482" s="153"/>
      <c r="E1482" s="153"/>
      <c r="F1482" s="153"/>
      <c r="G1482" s="153"/>
      <c r="H1482" s="153"/>
      <c r="I1482" s="153"/>
      <c r="J1482" s="153"/>
      <c r="K1482" s="153"/>
      <c r="L1482" s="153"/>
      <c r="M1482" s="153"/>
      <c r="N1482" s="153"/>
    </row>
    <row r="1483" spans="2:14" ht="20">
      <c r="B1483" s="153"/>
      <c r="C1483" s="153"/>
      <c r="D1483" s="153"/>
      <c r="E1483" s="153"/>
      <c r="F1483" s="153"/>
      <c r="G1483" s="153"/>
      <c r="H1483" s="153"/>
      <c r="I1483" s="153"/>
      <c r="J1483" s="153"/>
      <c r="K1483" s="153"/>
      <c r="L1483" s="153"/>
      <c r="M1483" s="153"/>
      <c r="N1483" s="153"/>
    </row>
    <row r="1484" spans="2:14" ht="20">
      <c r="B1484" s="153"/>
      <c r="C1484" s="153"/>
      <c r="D1484" s="153"/>
      <c r="E1484" s="153"/>
      <c r="F1484" s="153"/>
      <c r="G1484" s="153"/>
      <c r="H1484" s="153"/>
      <c r="I1484" s="153"/>
      <c r="J1484" s="153"/>
      <c r="K1484" s="153"/>
      <c r="L1484" s="153"/>
      <c r="M1484" s="153"/>
      <c r="N1484" s="153"/>
    </row>
    <row r="1485" spans="2:14" ht="20">
      <c r="B1485" s="153"/>
      <c r="C1485" s="153"/>
      <c r="D1485" s="153"/>
      <c r="E1485" s="153"/>
      <c r="F1485" s="153"/>
      <c r="G1485" s="153"/>
      <c r="H1485" s="153"/>
      <c r="I1485" s="153"/>
      <c r="J1485" s="153"/>
      <c r="K1485" s="153"/>
      <c r="L1485" s="153"/>
      <c r="M1485" s="153"/>
      <c r="N1485" s="153"/>
    </row>
    <row r="1486" spans="2:14" ht="20">
      <c r="B1486" s="153"/>
      <c r="C1486" s="153"/>
      <c r="D1486" s="153"/>
      <c r="E1486" s="153"/>
      <c r="F1486" s="153"/>
      <c r="G1486" s="153"/>
      <c r="H1486" s="153"/>
      <c r="I1486" s="153"/>
      <c r="J1486" s="153"/>
      <c r="K1486" s="153"/>
      <c r="L1486" s="153"/>
      <c r="M1486" s="153"/>
      <c r="N1486" s="153"/>
    </row>
    <row r="1487" spans="2:14" ht="20">
      <c r="B1487" s="153"/>
      <c r="C1487" s="153"/>
      <c r="D1487" s="153"/>
      <c r="E1487" s="153"/>
      <c r="F1487" s="153"/>
      <c r="G1487" s="153"/>
      <c r="H1487" s="153"/>
      <c r="I1487" s="153"/>
      <c r="J1487" s="153"/>
      <c r="K1487" s="153"/>
      <c r="L1487" s="153"/>
      <c r="M1487" s="153"/>
      <c r="N1487" s="153"/>
    </row>
    <row r="1488" spans="2:14" ht="20">
      <c r="B1488" s="153"/>
      <c r="C1488" s="153"/>
      <c r="D1488" s="153"/>
      <c r="E1488" s="153"/>
      <c r="F1488" s="153"/>
      <c r="G1488" s="153"/>
      <c r="H1488" s="153"/>
      <c r="I1488" s="153"/>
      <c r="J1488" s="153"/>
      <c r="K1488" s="153"/>
      <c r="L1488" s="153"/>
      <c r="M1488" s="153"/>
      <c r="N1488" s="153"/>
    </row>
    <row r="1489" spans="2:14" ht="20">
      <c r="B1489" s="153"/>
      <c r="C1489" s="153"/>
      <c r="D1489" s="153"/>
      <c r="E1489" s="153"/>
      <c r="F1489" s="153"/>
      <c r="G1489" s="153"/>
      <c r="H1489" s="153"/>
      <c r="I1489" s="153"/>
      <c r="J1489" s="153"/>
      <c r="K1489" s="153"/>
      <c r="L1489" s="153"/>
      <c r="M1489" s="153"/>
      <c r="N1489" s="153"/>
    </row>
    <row r="1490" spans="2:14" ht="20">
      <c r="B1490" s="153"/>
      <c r="C1490" s="153"/>
      <c r="D1490" s="153"/>
      <c r="E1490" s="153"/>
      <c r="F1490" s="153"/>
      <c r="G1490" s="153"/>
      <c r="H1490" s="153"/>
      <c r="I1490" s="153"/>
      <c r="J1490" s="153"/>
      <c r="K1490" s="153"/>
      <c r="L1490" s="153"/>
      <c r="M1490" s="153"/>
      <c r="N1490" s="153"/>
    </row>
    <row r="1491" spans="2:14" ht="20">
      <c r="B1491" s="153"/>
      <c r="C1491" s="153"/>
      <c r="D1491" s="153"/>
      <c r="E1491" s="153"/>
      <c r="F1491" s="153"/>
      <c r="G1491" s="153"/>
      <c r="H1491" s="153"/>
      <c r="I1491" s="153"/>
      <c r="J1491" s="153"/>
      <c r="K1491" s="153"/>
      <c r="L1491" s="153"/>
      <c r="M1491" s="153"/>
      <c r="N1491" s="153"/>
    </row>
    <row r="1492" spans="2:14" ht="20">
      <c r="B1492" s="153"/>
      <c r="C1492" s="153"/>
      <c r="D1492" s="153"/>
      <c r="E1492" s="153"/>
      <c r="F1492" s="153"/>
      <c r="G1492" s="153"/>
      <c r="H1492" s="153"/>
      <c r="I1492" s="153"/>
      <c r="J1492" s="153"/>
      <c r="K1492" s="153"/>
      <c r="L1492" s="153"/>
      <c r="M1492" s="153"/>
      <c r="N1492" s="153"/>
    </row>
    <row r="1493" spans="2:14" ht="20">
      <c r="B1493" s="153"/>
      <c r="C1493" s="153"/>
      <c r="D1493" s="153"/>
      <c r="E1493" s="153"/>
      <c r="F1493" s="153"/>
      <c r="G1493" s="153"/>
      <c r="H1493" s="153"/>
      <c r="I1493" s="153"/>
      <c r="J1493" s="153"/>
      <c r="K1493" s="153"/>
      <c r="L1493" s="153"/>
      <c r="M1493" s="153"/>
      <c r="N1493" s="153"/>
    </row>
    <row r="1494" spans="2:14" ht="20">
      <c r="B1494" s="153"/>
      <c r="C1494" s="153"/>
      <c r="D1494" s="153"/>
      <c r="E1494" s="153"/>
      <c r="F1494" s="153"/>
      <c r="G1494" s="153"/>
      <c r="H1494" s="153"/>
      <c r="I1494" s="153"/>
      <c r="J1494" s="153"/>
      <c r="K1494" s="153"/>
      <c r="L1494" s="153"/>
      <c r="M1494" s="153"/>
      <c r="N1494" s="153"/>
    </row>
    <row r="1495" spans="2:14" ht="20">
      <c r="B1495" s="153"/>
      <c r="C1495" s="153"/>
      <c r="D1495" s="153"/>
      <c r="E1495" s="153"/>
      <c r="F1495" s="153"/>
      <c r="G1495" s="153"/>
      <c r="H1495" s="153"/>
      <c r="I1495" s="153"/>
      <c r="J1495" s="153"/>
      <c r="K1495" s="153"/>
      <c r="L1495" s="153"/>
      <c r="M1495" s="153"/>
      <c r="N1495" s="153"/>
    </row>
    <row r="1496" spans="2:14" ht="20">
      <c r="B1496" s="153"/>
      <c r="C1496" s="153"/>
      <c r="D1496" s="153"/>
      <c r="E1496" s="153"/>
      <c r="F1496" s="153"/>
      <c r="G1496" s="153"/>
      <c r="H1496" s="153"/>
      <c r="I1496" s="153"/>
      <c r="J1496" s="153"/>
      <c r="K1496" s="153"/>
      <c r="L1496" s="153"/>
      <c r="M1496" s="153"/>
      <c r="N1496" s="153"/>
    </row>
    <row r="1497" spans="2:14" ht="20">
      <c r="B1497" s="153"/>
      <c r="C1497" s="153"/>
      <c r="D1497" s="153"/>
      <c r="E1497" s="153"/>
      <c r="F1497" s="153"/>
      <c r="G1497" s="153"/>
      <c r="H1497" s="153"/>
      <c r="I1497" s="153"/>
      <c r="J1497" s="153"/>
      <c r="K1497" s="153"/>
      <c r="L1497" s="153"/>
      <c r="M1497" s="153"/>
      <c r="N1497" s="153"/>
    </row>
    <row r="1498" spans="2:14" ht="20">
      <c r="B1498" s="153"/>
      <c r="C1498" s="153"/>
      <c r="D1498" s="153"/>
      <c r="E1498" s="153"/>
      <c r="F1498" s="153"/>
      <c r="G1498" s="153"/>
      <c r="H1498" s="153"/>
      <c r="I1498" s="153"/>
      <c r="J1498" s="153"/>
      <c r="K1498" s="153"/>
      <c r="L1498" s="153"/>
      <c r="M1498" s="153"/>
      <c r="N1498" s="153"/>
    </row>
    <row r="1499" spans="2:14" ht="20">
      <c r="B1499" s="153"/>
      <c r="C1499" s="153"/>
      <c r="D1499" s="153"/>
      <c r="E1499" s="153"/>
      <c r="F1499" s="153"/>
      <c r="G1499" s="153"/>
      <c r="H1499" s="153"/>
      <c r="I1499" s="153"/>
      <c r="J1499" s="153"/>
      <c r="K1499" s="153"/>
      <c r="L1499" s="153"/>
      <c r="M1499" s="153"/>
      <c r="N1499" s="153"/>
    </row>
    <row r="1500" spans="2:14" ht="20">
      <c r="B1500" s="153"/>
      <c r="C1500" s="153"/>
      <c r="D1500" s="153"/>
      <c r="E1500" s="153"/>
      <c r="F1500" s="153"/>
      <c r="G1500" s="153"/>
      <c r="H1500" s="153"/>
      <c r="I1500" s="153"/>
      <c r="J1500" s="153"/>
      <c r="K1500" s="153"/>
      <c r="L1500" s="153"/>
      <c r="M1500" s="153"/>
      <c r="N1500" s="153"/>
    </row>
    <row r="1501" spans="2:14" ht="20">
      <c r="B1501" s="153"/>
      <c r="C1501" s="153"/>
      <c r="D1501" s="153"/>
      <c r="E1501" s="153"/>
      <c r="F1501" s="153"/>
      <c r="G1501" s="153"/>
      <c r="H1501" s="153"/>
      <c r="I1501" s="153"/>
      <c r="J1501" s="153"/>
      <c r="K1501" s="153"/>
      <c r="L1501" s="153"/>
      <c r="M1501" s="153"/>
      <c r="N1501" s="153"/>
    </row>
    <row r="1502" spans="2:14" ht="20">
      <c r="B1502" s="153"/>
      <c r="C1502" s="153"/>
      <c r="D1502" s="153"/>
      <c r="E1502" s="153"/>
      <c r="F1502" s="153"/>
      <c r="G1502" s="153"/>
      <c r="H1502" s="153"/>
      <c r="I1502" s="153"/>
      <c r="J1502" s="153"/>
      <c r="K1502" s="153"/>
      <c r="L1502" s="153"/>
      <c r="M1502" s="153"/>
      <c r="N1502" s="153"/>
    </row>
    <row r="1503" spans="2:14" ht="20">
      <c r="B1503" s="153"/>
      <c r="C1503" s="153"/>
      <c r="D1503" s="153"/>
      <c r="E1503" s="153"/>
      <c r="F1503" s="153"/>
      <c r="G1503" s="153"/>
      <c r="H1503" s="153"/>
      <c r="I1503" s="153"/>
      <c r="J1503" s="153"/>
      <c r="K1503" s="153"/>
      <c r="L1503" s="153"/>
      <c r="M1503" s="153"/>
      <c r="N1503" s="153"/>
    </row>
    <row r="1504" spans="2:14" ht="20">
      <c r="B1504" s="153"/>
      <c r="C1504" s="153"/>
      <c r="D1504" s="153"/>
      <c r="E1504" s="153"/>
      <c r="F1504" s="153"/>
      <c r="G1504" s="153"/>
      <c r="H1504" s="153"/>
      <c r="I1504" s="153"/>
      <c r="J1504" s="153"/>
      <c r="K1504" s="153"/>
      <c r="L1504" s="153"/>
      <c r="M1504" s="153"/>
      <c r="N1504" s="153"/>
    </row>
    <row r="1505" spans="2:14" ht="20">
      <c r="B1505" s="153"/>
      <c r="C1505" s="153"/>
      <c r="D1505" s="153"/>
      <c r="E1505" s="153"/>
      <c r="F1505" s="153"/>
      <c r="G1505" s="153"/>
      <c r="H1505" s="153"/>
      <c r="I1505" s="153"/>
      <c r="J1505" s="153"/>
      <c r="K1505" s="153"/>
      <c r="L1505" s="153"/>
      <c r="M1505" s="153"/>
      <c r="N1505" s="153"/>
    </row>
    <row r="1506" spans="2:14" ht="20">
      <c r="B1506" s="153"/>
      <c r="C1506" s="153"/>
      <c r="D1506" s="153"/>
      <c r="E1506" s="153"/>
      <c r="F1506" s="153"/>
      <c r="G1506" s="153"/>
      <c r="H1506" s="153"/>
      <c r="I1506" s="153"/>
      <c r="J1506" s="153"/>
      <c r="K1506" s="153"/>
      <c r="L1506" s="153"/>
      <c r="M1506" s="153"/>
      <c r="N1506" s="153"/>
    </row>
    <row r="1507" spans="2:14" ht="20">
      <c r="B1507" s="153"/>
      <c r="C1507" s="153"/>
      <c r="D1507" s="153"/>
      <c r="E1507" s="153"/>
      <c r="F1507" s="153"/>
      <c r="G1507" s="153"/>
      <c r="H1507" s="153"/>
      <c r="I1507" s="153"/>
      <c r="J1507" s="153"/>
      <c r="K1507" s="153"/>
      <c r="L1507" s="153"/>
      <c r="M1507" s="153"/>
      <c r="N1507" s="153"/>
    </row>
    <row r="1508" spans="2:14" ht="20">
      <c r="B1508" s="153"/>
      <c r="C1508" s="153"/>
      <c r="D1508" s="153"/>
      <c r="E1508" s="153"/>
      <c r="F1508" s="153"/>
      <c r="G1508" s="153"/>
      <c r="H1508" s="153"/>
      <c r="I1508" s="153"/>
      <c r="J1508" s="153"/>
      <c r="K1508" s="153"/>
      <c r="L1508" s="153"/>
      <c r="M1508" s="153"/>
      <c r="N1508" s="153"/>
    </row>
    <row r="1509" spans="2:14" ht="20">
      <c r="B1509" s="153"/>
      <c r="C1509" s="153"/>
      <c r="D1509" s="153"/>
      <c r="E1509" s="153"/>
      <c r="F1509" s="153"/>
      <c r="G1509" s="153"/>
      <c r="H1509" s="153"/>
      <c r="I1509" s="153"/>
      <c r="J1509" s="153"/>
      <c r="K1509" s="153"/>
      <c r="L1509" s="153"/>
      <c r="M1509" s="153"/>
      <c r="N1509" s="153"/>
    </row>
    <row r="1510" spans="2:14" ht="20">
      <c r="B1510" s="153"/>
      <c r="C1510" s="153"/>
      <c r="D1510" s="153"/>
      <c r="E1510" s="153"/>
      <c r="F1510" s="153"/>
      <c r="G1510" s="153"/>
      <c r="H1510" s="153"/>
      <c r="I1510" s="153"/>
      <c r="J1510" s="153"/>
      <c r="K1510" s="153"/>
      <c r="L1510" s="153"/>
      <c r="M1510" s="153"/>
      <c r="N1510" s="153"/>
    </row>
    <row r="1511" spans="2:14" ht="20">
      <c r="B1511" s="153"/>
      <c r="C1511" s="153"/>
      <c r="D1511" s="153"/>
      <c r="E1511" s="153"/>
      <c r="F1511" s="153"/>
      <c r="G1511" s="153"/>
      <c r="H1511" s="153"/>
      <c r="I1511" s="153"/>
      <c r="J1511" s="153"/>
      <c r="K1511" s="153"/>
      <c r="L1511" s="153"/>
      <c r="M1511" s="153"/>
      <c r="N1511" s="153"/>
    </row>
    <row r="1512" spans="2:14" ht="20">
      <c r="B1512" s="153"/>
      <c r="C1512" s="153"/>
      <c r="D1512" s="153"/>
      <c r="E1512" s="153"/>
      <c r="F1512" s="153"/>
      <c r="G1512" s="153"/>
      <c r="H1512" s="153"/>
      <c r="I1512" s="153"/>
      <c r="J1512" s="153"/>
      <c r="K1512" s="153"/>
      <c r="L1512" s="153"/>
      <c r="M1512" s="153"/>
      <c r="N1512" s="153"/>
    </row>
    <row r="1513" spans="2:14" ht="20">
      <c r="B1513" s="153"/>
      <c r="C1513" s="153"/>
      <c r="D1513" s="153"/>
      <c r="E1513" s="153"/>
      <c r="F1513" s="153"/>
      <c r="G1513" s="153"/>
      <c r="H1513" s="153"/>
      <c r="I1513" s="153"/>
      <c r="J1513" s="153"/>
      <c r="K1513" s="153"/>
      <c r="L1513" s="153"/>
      <c r="M1513" s="153"/>
      <c r="N1513" s="153"/>
    </row>
    <row r="1514" spans="2:14" ht="20">
      <c r="B1514" s="153"/>
      <c r="C1514" s="153"/>
      <c r="D1514" s="153"/>
      <c r="E1514" s="153"/>
      <c r="F1514" s="153"/>
      <c r="G1514" s="153"/>
      <c r="H1514" s="153"/>
      <c r="I1514" s="153"/>
      <c r="J1514" s="153"/>
      <c r="K1514" s="153"/>
      <c r="L1514" s="153"/>
      <c r="M1514" s="153"/>
      <c r="N1514" s="153"/>
    </row>
    <row r="1515" spans="2:14" ht="20">
      <c r="B1515" s="153"/>
      <c r="C1515" s="153"/>
      <c r="D1515" s="153"/>
      <c r="E1515" s="153"/>
      <c r="F1515" s="153"/>
      <c r="G1515" s="153"/>
      <c r="H1515" s="153"/>
      <c r="I1515" s="153"/>
      <c r="J1515" s="153"/>
      <c r="K1515" s="153"/>
      <c r="L1515" s="153"/>
      <c r="M1515" s="153"/>
      <c r="N1515" s="153"/>
    </row>
    <row r="1516" spans="2:14" ht="20">
      <c r="B1516" s="153"/>
      <c r="C1516" s="153"/>
      <c r="D1516" s="153"/>
      <c r="E1516" s="153"/>
      <c r="F1516" s="153"/>
      <c r="G1516" s="153"/>
      <c r="H1516" s="153"/>
      <c r="I1516" s="153"/>
      <c r="J1516" s="153"/>
      <c r="K1516" s="153"/>
      <c r="L1516" s="153"/>
      <c r="M1516" s="153"/>
      <c r="N1516" s="153"/>
    </row>
    <row r="1517" spans="2:14" ht="20">
      <c r="B1517" s="153"/>
      <c r="C1517" s="153"/>
      <c r="D1517" s="153"/>
      <c r="E1517" s="153"/>
      <c r="F1517" s="153"/>
      <c r="G1517" s="153"/>
      <c r="H1517" s="153"/>
      <c r="I1517" s="153"/>
      <c r="J1517" s="153"/>
      <c r="K1517" s="153"/>
      <c r="L1517" s="153"/>
      <c r="M1517" s="153"/>
      <c r="N1517" s="153"/>
    </row>
    <row r="1518" spans="2:14" ht="20">
      <c r="B1518" s="153"/>
      <c r="C1518" s="153"/>
      <c r="D1518" s="153"/>
      <c r="E1518" s="153"/>
      <c r="F1518" s="153"/>
      <c r="G1518" s="153"/>
      <c r="H1518" s="153"/>
      <c r="I1518" s="153"/>
      <c r="J1518" s="153"/>
      <c r="K1518" s="153"/>
      <c r="L1518" s="153"/>
      <c r="M1518" s="153"/>
      <c r="N1518" s="153"/>
    </row>
    <row r="1519" spans="2:14" ht="20">
      <c r="B1519" s="153"/>
      <c r="C1519" s="153"/>
      <c r="D1519" s="153"/>
      <c r="E1519" s="153"/>
      <c r="F1519" s="153"/>
      <c r="G1519" s="153"/>
      <c r="H1519" s="153"/>
      <c r="I1519" s="153"/>
      <c r="J1519" s="153"/>
      <c r="K1519" s="153"/>
      <c r="L1519" s="153"/>
      <c r="M1519" s="153"/>
      <c r="N1519" s="153"/>
    </row>
    <row r="1520" spans="2:14" ht="20">
      <c r="B1520" s="153"/>
      <c r="C1520" s="153"/>
      <c r="D1520" s="153"/>
      <c r="E1520" s="153"/>
      <c r="F1520" s="153"/>
      <c r="G1520" s="153"/>
      <c r="H1520" s="153"/>
      <c r="I1520" s="153"/>
      <c r="J1520" s="153"/>
      <c r="K1520" s="153"/>
      <c r="L1520" s="153"/>
      <c r="M1520" s="153"/>
      <c r="N1520" s="153"/>
    </row>
    <row r="1521" spans="2:14" ht="20">
      <c r="B1521" s="153"/>
      <c r="C1521" s="153"/>
      <c r="D1521" s="153"/>
      <c r="E1521" s="153"/>
      <c r="F1521" s="153"/>
      <c r="G1521" s="153"/>
      <c r="H1521" s="153"/>
      <c r="I1521" s="153"/>
      <c r="J1521" s="153"/>
      <c r="K1521" s="153"/>
      <c r="L1521" s="153"/>
      <c r="M1521" s="153"/>
      <c r="N1521" s="153"/>
    </row>
    <row r="1522" spans="2:14" ht="20">
      <c r="B1522" s="153"/>
      <c r="C1522" s="153"/>
      <c r="D1522" s="153"/>
      <c r="E1522" s="153"/>
      <c r="F1522" s="153"/>
      <c r="G1522" s="153"/>
      <c r="H1522" s="153"/>
      <c r="I1522" s="153"/>
      <c r="J1522" s="153"/>
      <c r="K1522" s="153"/>
      <c r="L1522" s="153"/>
      <c r="M1522" s="153"/>
      <c r="N1522" s="153"/>
    </row>
    <row r="1523" spans="2:14" ht="20">
      <c r="B1523" s="153"/>
      <c r="C1523" s="153"/>
      <c r="D1523" s="153"/>
      <c r="E1523" s="153"/>
      <c r="F1523" s="153"/>
      <c r="G1523" s="153"/>
      <c r="H1523" s="153"/>
      <c r="I1523" s="153"/>
      <c r="J1523" s="153"/>
      <c r="K1523" s="153"/>
      <c r="L1523" s="153"/>
      <c r="M1523" s="153"/>
      <c r="N1523" s="153"/>
    </row>
    <row r="1524" spans="2:14" ht="20">
      <c r="B1524" s="153"/>
      <c r="C1524" s="153"/>
      <c r="D1524" s="153"/>
      <c r="E1524" s="153"/>
      <c r="F1524" s="153"/>
      <c r="G1524" s="153"/>
      <c r="H1524" s="153"/>
      <c r="I1524" s="153"/>
      <c r="J1524" s="153"/>
      <c r="K1524" s="153"/>
      <c r="L1524" s="153"/>
      <c r="M1524" s="153"/>
      <c r="N1524" s="153"/>
    </row>
    <row r="1525" spans="2:14" ht="20">
      <c r="B1525" s="153"/>
      <c r="C1525" s="153"/>
      <c r="D1525" s="153"/>
      <c r="E1525" s="153"/>
      <c r="F1525" s="153"/>
      <c r="G1525" s="153"/>
      <c r="H1525" s="153"/>
      <c r="I1525" s="153"/>
      <c r="J1525" s="153"/>
      <c r="K1525" s="153"/>
      <c r="L1525" s="153"/>
      <c r="M1525" s="153"/>
      <c r="N1525" s="153"/>
    </row>
    <row r="1526" spans="2:14" ht="20">
      <c r="B1526" s="153"/>
      <c r="C1526" s="153"/>
      <c r="D1526" s="153"/>
      <c r="E1526" s="153"/>
      <c r="F1526" s="153"/>
      <c r="G1526" s="153"/>
      <c r="H1526" s="153"/>
      <c r="I1526" s="153"/>
      <c r="J1526" s="153"/>
      <c r="K1526" s="153"/>
      <c r="L1526" s="153"/>
      <c r="M1526" s="153"/>
      <c r="N1526" s="153"/>
    </row>
    <row r="1527" spans="2:14" ht="20">
      <c r="B1527" s="153"/>
      <c r="C1527" s="153"/>
      <c r="D1527" s="153"/>
      <c r="E1527" s="153"/>
      <c r="F1527" s="153"/>
      <c r="G1527" s="153"/>
      <c r="H1527" s="153"/>
      <c r="I1527" s="153"/>
      <c r="J1527" s="153"/>
      <c r="K1527" s="153"/>
      <c r="L1527" s="153"/>
      <c r="M1527" s="153"/>
      <c r="N1527" s="153"/>
    </row>
    <row r="1528" spans="2:14" ht="20">
      <c r="B1528" s="153"/>
      <c r="C1528" s="153"/>
      <c r="D1528" s="153"/>
      <c r="E1528" s="153"/>
      <c r="F1528" s="153"/>
      <c r="G1528" s="153"/>
      <c r="H1528" s="153"/>
      <c r="I1528" s="153"/>
      <c r="J1528" s="153"/>
      <c r="K1528" s="153"/>
      <c r="L1528" s="153"/>
      <c r="M1528" s="153"/>
      <c r="N1528" s="153"/>
    </row>
    <row r="1529" spans="2:14" ht="20">
      <c r="B1529" s="153"/>
      <c r="C1529" s="153"/>
      <c r="D1529" s="153"/>
      <c r="E1529" s="153"/>
      <c r="F1529" s="153"/>
      <c r="G1529" s="153"/>
      <c r="H1529" s="153"/>
      <c r="I1529" s="153"/>
      <c r="J1529" s="153"/>
      <c r="K1529" s="153"/>
      <c r="L1529" s="153"/>
      <c r="M1529" s="153"/>
      <c r="N1529" s="153"/>
    </row>
    <row r="1530" spans="2:14" ht="20">
      <c r="B1530" s="153"/>
      <c r="C1530" s="153"/>
      <c r="D1530" s="153"/>
      <c r="E1530" s="153"/>
      <c r="F1530" s="153"/>
      <c r="G1530" s="153"/>
      <c r="H1530" s="153"/>
      <c r="I1530" s="153"/>
      <c r="J1530" s="153"/>
      <c r="K1530" s="153"/>
      <c r="L1530" s="153"/>
      <c r="M1530" s="153"/>
      <c r="N1530" s="153"/>
    </row>
    <row r="1531" spans="2:14" ht="20">
      <c r="B1531" s="153"/>
      <c r="C1531" s="153"/>
      <c r="D1531" s="153"/>
      <c r="E1531" s="153"/>
      <c r="F1531" s="153"/>
      <c r="G1531" s="153"/>
      <c r="H1531" s="153"/>
      <c r="I1531" s="153"/>
      <c r="J1531" s="153"/>
      <c r="K1531" s="153"/>
      <c r="L1531" s="153"/>
      <c r="M1531" s="153"/>
      <c r="N1531" s="153"/>
    </row>
    <row r="1532" spans="2:14" ht="20">
      <c r="B1532" s="153"/>
      <c r="C1532" s="153"/>
      <c r="D1532" s="153"/>
      <c r="E1532" s="153"/>
      <c r="F1532" s="153"/>
      <c r="G1532" s="153"/>
      <c r="H1532" s="153"/>
      <c r="I1532" s="153"/>
      <c r="J1532" s="153"/>
      <c r="K1532" s="153"/>
      <c r="L1532" s="153"/>
      <c r="M1532" s="153"/>
      <c r="N1532" s="153"/>
    </row>
    <row r="1533" spans="2:14" ht="20">
      <c r="B1533" s="153"/>
      <c r="C1533" s="153"/>
      <c r="D1533" s="153"/>
      <c r="E1533" s="153"/>
      <c r="F1533" s="153"/>
      <c r="G1533" s="153"/>
      <c r="H1533" s="153"/>
      <c r="I1533" s="153"/>
      <c r="J1533" s="153"/>
      <c r="K1533" s="153"/>
      <c r="L1533" s="153"/>
      <c r="M1533" s="153"/>
      <c r="N1533" s="153"/>
    </row>
    <row r="1534" spans="2:14" ht="20">
      <c r="B1534" s="153"/>
      <c r="C1534" s="153"/>
      <c r="D1534" s="153"/>
      <c r="E1534" s="153"/>
      <c r="F1534" s="153"/>
      <c r="G1534" s="153"/>
      <c r="H1534" s="153"/>
      <c r="I1534" s="153"/>
      <c r="J1534" s="153"/>
      <c r="K1534" s="153"/>
      <c r="L1534" s="153"/>
      <c r="M1534" s="153"/>
      <c r="N1534" s="153"/>
    </row>
    <row r="1535" spans="2:14" ht="20">
      <c r="B1535" s="153"/>
      <c r="C1535" s="153"/>
      <c r="D1535" s="153"/>
      <c r="E1535" s="153"/>
      <c r="F1535" s="153"/>
      <c r="G1535" s="153"/>
      <c r="H1535" s="153"/>
      <c r="I1535" s="153"/>
      <c r="J1535" s="153"/>
      <c r="K1535" s="153"/>
      <c r="L1535" s="153"/>
      <c r="M1535" s="153"/>
      <c r="N1535" s="153"/>
    </row>
    <row r="1536" spans="2:14" ht="20">
      <c r="B1536" s="153"/>
      <c r="C1536" s="153"/>
      <c r="D1536" s="153"/>
      <c r="E1536" s="153"/>
      <c r="F1536" s="153"/>
      <c r="G1536" s="153"/>
      <c r="H1536" s="153"/>
      <c r="I1536" s="153"/>
      <c r="J1536" s="153"/>
      <c r="K1536" s="153"/>
      <c r="L1536" s="153"/>
      <c r="M1536" s="153"/>
      <c r="N1536" s="153"/>
    </row>
    <row r="1537" spans="2:14" ht="20">
      <c r="B1537" s="153"/>
      <c r="C1537" s="153"/>
      <c r="D1537" s="153"/>
      <c r="E1537" s="153"/>
      <c r="F1537" s="153"/>
      <c r="G1537" s="153"/>
      <c r="H1537" s="153"/>
      <c r="I1537" s="153"/>
      <c r="J1537" s="153"/>
      <c r="K1537" s="153"/>
      <c r="L1537" s="153"/>
      <c r="M1537" s="153"/>
      <c r="N1537" s="153"/>
    </row>
    <row r="1538" spans="2:14" ht="20">
      <c r="B1538" s="153"/>
      <c r="C1538" s="153"/>
      <c r="D1538" s="153"/>
      <c r="E1538" s="153"/>
      <c r="F1538" s="153"/>
      <c r="G1538" s="153"/>
      <c r="H1538" s="153"/>
      <c r="I1538" s="153"/>
      <c r="J1538" s="153"/>
      <c r="K1538" s="153"/>
      <c r="L1538" s="153"/>
      <c r="M1538" s="153"/>
      <c r="N1538" s="153"/>
    </row>
    <row r="1539" spans="2:14" ht="20">
      <c r="B1539" s="153"/>
      <c r="C1539" s="153"/>
      <c r="D1539" s="153"/>
      <c r="E1539" s="153"/>
      <c r="F1539" s="153"/>
      <c r="G1539" s="153"/>
      <c r="H1539" s="153"/>
      <c r="I1539" s="153"/>
      <c r="J1539" s="153"/>
      <c r="K1539" s="153"/>
      <c r="L1539" s="153"/>
      <c r="M1539" s="153"/>
      <c r="N1539" s="153"/>
    </row>
    <row r="1540" spans="2:14" ht="20">
      <c r="B1540" s="153"/>
      <c r="C1540" s="153"/>
      <c r="D1540" s="153"/>
      <c r="E1540" s="153"/>
      <c r="F1540" s="153"/>
      <c r="G1540" s="153"/>
      <c r="H1540" s="153"/>
      <c r="I1540" s="153"/>
      <c r="J1540" s="153"/>
      <c r="K1540" s="153"/>
      <c r="L1540" s="153"/>
      <c r="M1540" s="153"/>
      <c r="N1540" s="153"/>
    </row>
    <row r="1541" spans="2:14" ht="20">
      <c r="B1541" s="153"/>
      <c r="C1541" s="153"/>
      <c r="D1541" s="153"/>
      <c r="E1541" s="153"/>
      <c r="F1541" s="153"/>
      <c r="G1541" s="153"/>
      <c r="H1541" s="153"/>
      <c r="I1541" s="153"/>
      <c r="J1541" s="153"/>
      <c r="K1541" s="153"/>
      <c r="L1541" s="153"/>
      <c r="M1541" s="153"/>
      <c r="N1541" s="153"/>
    </row>
    <row r="1542" spans="2:14" ht="20">
      <c r="B1542" s="153"/>
      <c r="C1542" s="153"/>
      <c r="D1542" s="153"/>
      <c r="E1542" s="153"/>
      <c r="F1542" s="153"/>
      <c r="G1542" s="153"/>
      <c r="H1542" s="153"/>
      <c r="I1542" s="153"/>
      <c r="J1542" s="153"/>
      <c r="K1542" s="153"/>
      <c r="L1542" s="153"/>
      <c r="M1542" s="153"/>
      <c r="N1542" s="153"/>
    </row>
    <row r="1543" spans="2:14" ht="20">
      <c r="B1543" s="153"/>
      <c r="C1543" s="153"/>
      <c r="D1543" s="153"/>
      <c r="E1543" s="153"/>
      <c r="F1543" s="153"/>
      <c r="G1543" s="153"/>
      <c r="H1543" s="153"/>
      <c r="I1543" s="153"/>
      <c r="J1543" s="153"/>
      <c r="K1543" s="153"/>
      <c r="L1543" s="153"/>
      <c r="M1543" s="153"/>
      <c r="N1543" s="153"/>
    </row>
    <row r="1544" spans="2:14" ht="20">
      <c r="B1544" s="153"/>
      <c r="C1544" s="153"/>
      <c r="D1544" s="153"/>
      <c r="E1544" s="153"/>
      <c r="F1544" s="153"/>
      <c r="G1544" s="153"/>
      <c r="H1544" s="153"/>
      <c r="I1544" s="153"/>
      <c r="J1544" s="153"/>
      <c r="K1544" s="153"/>
      <c r="L1544" s="153"/>
      <c r="M1544" s="153"/>
      <c r="N1544" s="153"/>
    </row>
    <row r="1545" spans="2:14" ht="20">
      <c r="B1545" s="153"/>
      <c r="C1545" s="153"/>
      <c r="D1545" s="153"/>
      <c r="E1545" s="153"/>
      <c r="F1545" s="153"/>
      <c r="G1545" s="153"/>
      <c r="H1545" s="153"/>
      <c r="I1545" s="153"/>
      <c r="J1545" s="153"/>
      <c r="K1545" s="153"/>
      <c r="L1545" s="153"/>
      <c r="M1545" s="153"/>
      <c r="N1545" s="153"/>
    </row>
    <row r="1546" spans="2:14" ht="20">
      <c r="B1546" s="153"/>
      <c r="C1546" s="153"/>
      <c r="D1546" s="153"/>
      <c r="E1546" s="153"/>
      <c r="F1546" s="153"/>
      <c r="G1546" s="153"/>
      <c r="H1546" s="153"/>
      <c r="I1546" s="153"/>
      <c r="J1546" s="153"/>
      <c r="K1546" s="153"/>
      <c r="L1546" s="153"/>
      <c r="M1546" s="153"/>
      <c r="N1546" s="153"/>
    </row>
    <row r="1547" spans="2:14" ht="20">
      <c r="B1547" s="153"/>
      <c r="C1547" s="153"/>
      <c r="D1547" s="153"/>
      <c r="E1547" s="153"/>
      <c r="F1547" s="153"/>
      <c r="G1547" s="153"/>
      <c r="H1547" s="153"/>
      <c r="I1547" s="153"/>
      <c r="J1547" s="153"/>
      <c r="K1547" s="153"/>
      <c r="L1547" s="153"/>
      <c r="M1547" s="153"/>
      <c r="N1547" s="153"/>
    </row>
    <row r="1548" spans="2:14" ht="20">
      <c r="B1548" s="153"/>
      <c r="C1548" s="153"/>
      <c r="D1548" s="153"/>
      <c r="E1548" s="153"/>
      <c r="F1548" s="153"/>
      <c r="G1548" s="153"/>
      <c r="H1548" s="153"/>
      <c r="I1548" s="153"/>
      <c r="J1548" s="153"/>
      <c r="K1548" s="153"/>
      <c r="L1548" s="153"/>
      <c r="M1548" s="153"/>
      <c r="N1548" s="153"/>
    </row>
    <row r="1549" spans="2:14" ht="20">
      <c r="B1549" s="153"/>
      <c r="C1549" s="153"/>
      <c r="D1549" s="153"/>
      <c r="E1549" s="153"/>
      <c r="F1549" s="153"/>
      <c r="G1549" s="153"/>
      <c r="H1549" s="153"/>
      <c r="I1549" s="153"/>
      <c r="J1549" s="153"/>
      <c r="K1549" s="153"/>
      <c r="L1549" s="153"/>
      <c r="M1549" s="153"/>
      <c r="N1549" s="153"/>
    </row>
    <row r="1550" spans="2:14" ht="20">
      <c r="B1550" s="153"/>
      <c r="C1550" s="153"/>
      <c r="D1550" s="153"/>
      <c r="E1550" s="153"/>
      <c r="F1550" s="153"/>
      <c r="G1550" s="153"/>
      <c r="H1550" s="153"/>
      <c r="I1550" s="153"/>
      <c r="J1550" s="153"/>
      <c r="K1550" s="153"/>
      <c r="L1550" s="153"/>
      <c r="M1550" s="153"/>
      <c r="N1550" s="153"/>
    </row>
    <row r="1551" spans="2:14" ht="20">
      <c r="B1551" s="153"/>
      <c r="C1551" s="153"/>
      <c r="D1551" s="153"/>
      <c r="E1551" s="153"/>
      <c r="F1551" s="153"/>
      <c r="G1551" s="153"/>
      <c r="H1551" s="153"/>
      <c r="I1551" s="153"/>
      <c r="J1551" s="153"/>
      <c r="K1551" s="153"/>
      <c r="L1551" s="153"/>
      <c r="M1551" s="153"/>
      <c r="N1551" s="153"/>
    </row>
    <row r="1552" spans="2:14" ht="20">
      <c r="B1552" s="153"/>
      <c r="C1552" s="153"/>
      <c r="D1552" s="153"/>
      <c r="E1552" s="153"/>
      <c r="F1552" s="153"/>
      <c r="G1552" s="153"/>
      <c r="H1552" s="153"/>
      <c r="I1552" s="153"/>
      <c r="J1552" s="153"/>
      <c r="K1552" s="153"/>
      <c r="L1552" s="153"/>
      <c r="M1552" s="153"/>
      <c r="N1552" s="153"/>
    </row>
    <row r="1553" spans="2:14" ht="20">
      <c r="B1553" s="153"/>
      <c r="C1553" s="153"/>
      <c r="D1553" s="153"/>
      <c r="E1553" s="153"/>
      <c r="F1553" s="153"/>
      <c r="G1553" s="153"/>
      <c r="H1553" s="153"/>
      <c r="I1553" s="153"/>
      <c r="J1553" s="153"/>
      <c r="K1553" s="153"/>
      <c r="L1553" s="153"/>
      <c r="M1553" s="153"/>
      <c r="N1553" s="153"/>
    </row>
    <row r="1554" spans="2:14" ht="20">
      <c r="B1554" s="153"/>
      <c r="C1554" s="153"/>
      <c r="D1554" s="153"/>
      <c r="E1554" s="153"/>
      <c r="F1554" s="153"/>
      <c r="G1554" s="153"/>
      <c r="H1554" s="153"/>
      <c r="I1554" s="153"/>
      <c r="J1554" s="153"/>
      <c r="K1554" s="153"/>
      <c r="L1554" s="153"/>
      <c r="M1554" s="153"/>
      <c r="N1554" s="153"/>
    </row>
    <row r="1555" spans="2:14" ht="20">
      <c r="B1555" s="153"/>
      <c r="C1555" s="153"/>
      <c r="D1555" s="153"/>
      <c r="E1555" s="153"/>
      <c r="F1555" s="153"/>
      <c r="G1555" s="153"/>
      <c r="H1555" s="153"/>
      <c r="I1555" s="153"/>
      <c r="J1555" s="153"/>
      <c r="K1555" s="153"/>
      <c r="L1555" s="153"/>
      <c r="M1555" s="153"/>
      <c r="N1555" s="153"/>
    </row>
    <row r="1556" spans="2:14" ht="20">
      <c r="B1556" s="153"/>
      <c r="C1556" s="153"/>
      <c r="D1556" s="153"/>
      <c r="E1556" s="153"/>
      <c r="F1556" s="153"/>
      <c r="G1556" s="153"/>
      <c r="H1556" s="153"/>
      <c r="I1556" s="153"/>
      <c r="J1556" s="153"/>
      <c r="K1556" s="153"/>
      <c r="L1556" s="153"/>
      <c r="M1556" s="153"/>
      <c r="N1556" s="153"/>
    </row>
    <row r="1557" spans="2:14" ht="20">
      <c r="B1557" s="153"/>
      <c r="C1557" s="153"/>
      <c r="D1557" s="153"/>
      <c r="E1557" s="153"/>
      <c r="F1557" s="153"/>
      <c r="G1557" s="153"/>
      <c r="H1557" s="153"/>
      <c r="I1557" s="153"/>
      <c r="J1557" s="153"/>
      <c r="K1557" s="153"/>
      <c r="L1557" s="153"/>
      <c r="M1557" s="153"/>
      <c r="N1557" s="153"/>
    </row>
    <row r="1558" spans="2:14" ht="20">
      <c r="B1558" s="153"/>
      <c r="C1558" s="153"/>
      <c r="D1558" s="153"/>
      <c r="E1558" s="153"/>
      <c r="F1558" s="153"/>
      <c r="G1558" s="153"/>
      <c r="H1558" s="153"/>
      <c r="I1558" s="153"/>
      <c r="J1558" s="153"/>
      <c r="K1558" s="153"/>
      <c r="L1558" s="153"/>
      <c r="M1558" s="153"/>
      <c r="N1558" s="153"/>
    </row>
    <row r="1559" spans="2:14" ht="20">
      <c r="B1559" s="153"/>
      <c r="C1559" s="153"/>
      <c r="D1559" s="153"/>
      <c r="E1559" s="153"/>
      <c r="F1559" s="153"/>
      <c r="G1559" s="153"/>
      <c r="H1559" s="153"/>
      <c r="I1559" s="153"/>
      <c r="J1559" s="153"/>
      <c r="K1559" s="153"/>
      <c r="L1559" s="153"/>
      <c r="M1559" s="153"/>
      <c r="N1559" s="153"/>
    </row>
    <row r="1560" spans="2:14" ht="20">
      <c r="B1560" s="153"/>
      <c r="C1560" s="153"/>
      <c r="D1560" s="153"/>
      <c r="E1560" s="153"/>
      <c r="F1560" s="153"/>
      <c r="G1560" s="153"/>
      <c r="H1560" s="153"/>
      <c r="I1560" s="153"/>
      <c r="J1560" s="153"/>
      <c r="K1560" s="153"/>
      <c r="L1560" s="153"/>
      <c r="M1560" s="153"/>
      <c r="N1560" s="153"/>
    </row>
    <row r="1561" spans="2:14" ht="20">
      <c r="B1561" s="153"/>
      <c r="C1561" s="153"/>
      <c r="D1561" s="153"/>
      <c r="E1561" s="153"/>
      <c r="F1561" s="153"/>
      <c r="G1561" s="153"/>
      <c r="H1561" s="153"/>
      <c r="I1561" s="153"/>
      <c r="J1561" s="153"/>
      <c r="K1561" s="153"/>
      <c r="L1561" s="153"/>
      <c r="M1561" s="153"/>
      <c r="N1561" s="153"/>
    </row>
    <row r="1562" spans="2:14" ht="20">
      <c r="B1562" s="153"/>
      <c r="C1562" s="153"/>
      <c r="D1562" s="153"/>
      <c r="E1562" s="153"/>
      <c r="F1562" s="153"/>
      <c r="G1562" s="153"/>
      <c r="H1562" s="153"/>
      <c r="I1562" s="153"/>
      <c r="J1562" s="153"/>
      <c r="K1562" s="153"/>
      <c r="L1562" s="153"/>
      <c r="M1562" s="153"/>
      <c r="N1562" s="153"/>
    </row>
    <row r="1563" spans="2:14" ht="20">
      <c r="B1563" s="153"/>
      <c r="C1563" s="153"/>
      <c r="D1563" s="153"/>
      <c r="E1563" s="153"/>
      <c r="F1563" s="153"/>
      <c r="G1563" s="153"/>
      <c r="H1563" s="153"/>
      <c r="I1563" s="153"/>
      <c r="J1563" s="153"/>
      <c r="K1563" s="153"/>
      <c r="L1563" s="153"/>
      <c r="M1563" s="153"/>
      <c r="N1563" s="153"/>
    </row>
    <row r="1564" spans="2:14" ht="20">
      <c r="B1564" s="153"/>
      <c r="C1564" s="153"/>
      <c r="D1564" s="153"/>
      <c r="E1564" s="153"/>
      <c r="F1564" s="153"/>
      <c r="G1564" s="153"/>
      <c r="H1564" s="153"/>
      <c r="I1564" s="153"/>
      <c r="J1564" s="153"/>
      <c r="K1564" s="153"/>
      <c r="L1564" s="153"/>
      <c r="M1564" s="153"/>
      <c r="N1564" s="153"/>
    </row>
    <row r="1565" spans="2:14" ht="20">
      <c r="B1565" s="153"/>
      <c r="C1565" s="153"/>
      <c r="D1565" s="153"/>
      <c r="E1565" s="153"/>
      <c r="F1565" s="153"/>
      <c r="G1565" s="153"/>
      <c r="H1565" s="153"/>
      <c r="I1565" s="153"/>
      <c r="J1565" s="153"/>
      <c r="K1565" s="153"/>
      <c r="L1565" s="153"/>
      <c r="M1565" s="153"/>
      <c r="N1565" s="153"/>
    </row>
    <row r="1566" spans="2:14" ht="20">
      <c r="B1566" s="153"/>
      <c r="C1566" s="153"/>
      <c r="D1566" s="153"/>
      <c r="E1566" s="153"/>
      <c r="F1566" s="153"/>
      <c r="G1566" s="153"/>
      <c r="H1566" s="153"/>
      <c r="I1566" s="153"/>
      <c r="J1566" s="153"/>
      <c r="K1566" s="153"/>
      <c r="L1566" s="153"/>
      <c r="M1566" s="153"/>
      <c r="N1566" s="153"/>
    </row>
    <row r="1567" spans="2:14" ht="20">
      <c r="B1567" s="153"/>
      <c r="C1567" s="153"/>
      <c r="D1567" s="153"/>
      <c r="E1567" s="153"/>
      <c r="F1567" s="153"/>
      <c r="G1567" s="153"/>
      <c r="H1567" s="153"/>
      <c r="I1567" s="153"/>
      <c r="J1567" s="153"/>
      <c r="K1567" s="153"/>
      <c r="L1567" s="153"/>
      <c r="M1567" s="153"/>
      <c r="N1567" s="153"/>
    </row>
    <row r="1568" spans="2:14" ht="20">
      <c r="B1568" s="153"/>
      <c r="C1568" s="153"/>
      <c r="D1568" s="153"/>
      <c r="E1568" s="153"/>
      <c r="F1568" s="153"/>
      <c r="G1568" s="153"/>
      <c r="H1568" s="153"/>
      <c r="I1568" s="153"/>
      <c r="J1568" s="153"/>
      <c r="K1568" s="153"/>
      <c r="L1568" s="153"/>
      <c r="M1568" s="153"/>
      <c r="N1568" s="153"/>
    </row>
    <row r="1569" spans="2:14" ht="20">
      <c r="B1569" s="153"/>
      <c r="C1569" s="153"/>
      <c r="D1569" s="153"/>
      <c r="E1569" s="153"/>
      <c r="F1569" s="153"/>
      <c r="G1569" s="153"/>
      <c r="H1569" s="153"/>
      <c r="I1569" s="153"/>
      <c r="J1569" s="153"/>
      <c r="K1569" s="153"/>
      <c r="L1569" s="153"/>
      <c r="M1569" s="153"/>
      <c r="N1569" s="153"/>
    </row>
    <row r="1570" spans="2:14" ht="20">
      <c r="B1570" s="153"/>
      <c r="C1570" s="153"/>
      <c r="D1570" s="153"/>
      <c r="E1570" s="153"/>
      <c r="F1570" s="153"/>
      <c r="G1570" s="153"/>
      <c r="H1570" s="153"/>
      <c r="I1570" s="153"/>
      <c r="J1570" s="153"/>
      <c r="K1570" s="153"/>
      <c r="L1570" s="153"/>
      <c r="M1570" s="153"/>
      <c r="N1570" s="153"/>
    </row>
    <row r="1571" spans="2:14" ht="20">
      <c r="B1571" s="153"/>
      <c r="C1571" s="153"/>
      <c r="D1571" s="153"/>
      <c r="E1571" s="153"/>
      <c r="F1571" s="153"/>
      <c r="G1571" s="153"/>
      <c r="H1571" s="153"/>
      <c r="I1571" s="153"/>
      <c r="J1571" s="153"/>
      <c r="K1571" s="153"/>
      <c r="L1571" s="153"/>
      <c r="M1571" s="153"/>
      <c r="N1571" s="153"/>
    </row>
    <row r="1572" spans="2:14" ht="20">
      <c r="B1572" s="153"/>
      <c r="C1572" s="153"/>
      <c r="D1572" s="153"/>
      <c r="E1572" s="153"/>
      <c r="F1572" s="153"/>
      <c r="G1572" s="153"/>
      <c r="H1572" s="153"/>
      <c r="I1572" s="153"/>
      <c r="J1572" s="153"/>
      <c r="K1572" s="153"/>
      <c r="L1572" s="153"/>
      <c r="M1572" s="153"/>
      <c r="N1572" s="153"/>
    </row>
    <row r="1573" spans="2:14" ht="20">
      <c r="B1573" s="153"/>
      <c r="C1573" s="153"/>
      <c r="D1573" s="153"/>
      <c r="E1573" s="153"/>
      <c r="F1573" s="153"/>
      <c r="G1573" s="153"/>
      <c r="H1573" s="153"/>
      <c r="I1573" s="153"/>
      <c r="J1573" s="153"/>
      <c r="K1573" s="153"/>
      <c r="L1573" s="153"/>
      <c r="M1573" s="153"/>
      <c r="N1573" s="153"/>
    </row>
    <row r="1574" spans="2:14" ht="20">
      <c r="B1574" s="153"/>
      <c r="C1574" s="153"/>
      <c r="D1574" s="153"/>
      <c r="E1574" s="153"/>
      <c r="F1574" s="153"/>
      <c r="G1574" s="153"/>
      <c r="H1574" s="153"/>
      <c r="I1574" s="153"/>
      <c r="J1574" s="153"/>
      <c r="K1574" s="153"/>
      <c r="L1574" s="153"/>
      <c r="M1574" s="153"/>
      <c r="N1574" s="153"/>
    </row>
    <row r="1575" spans="2:14" ht="20">
      <c r="B1575" s="153"/>
      <c r="C1575" s="153"/>
      <c r="D1575" s="153"/>
      <c r="E1575" s="153"/>
      <c r="F1575" s="153"/>
      <c r="G1575" s="153"/>
      <c r="H1575" s="153"/>
      <c r="I1575" s="153"/>
      <c r="J1575" s="153"/>
      <c r="K1575" s="153"/>
      <c r="L1575" s="153"/>
      <c r="M1575" s="153"/>
      <c r="N1575" s="153"/>
    </row>
    <row r="1576" spans="2:14" ht="20">
      <c r="B1576" s="153"/>
      <c r="C1576" s="153"/>
      <c r="D1576" s="153"/>
      <c r="E1576" s="153"/>
      <c r="F1576" s="153"/>
      <c r="G1576" s="153"/>
      <c r="H1576" s="153"/>
      <c r="I1576" s="153"/>
      <c r="J1576" s="153"/>
      <c r="K1576" s="153"/>
      <c r="L1576" s="153"/>
      <c r="M1576" s="153"/>
      <c r="N1576" s="153"/>
    </row>
    <row r="1577" spans="2:14" ht="20">
      <c r="B1577" s="153"/>
      <c r="C1577" s="153"/>
      <c r="D1577" s="153"/>
      <c r="E1577" s="153"/>
      <c r="F1577" s="153"/>
      <c r="G1577" s="153"/>
      <c r="H1577" s="153"/>
      <c r="I1577" s="153"/>
      <c r="J1577" s="153"/>
      <c r="K1577" s="153"/>
      <c r="L1577" s="153"/>
      <c r="M1577" s="153"/>
      <c r="N1577" s="153"/>
    </row>
    <row r="1578" spans="2:14" ht="20">
      <c r="B1578" s="153"/>
      <c r="C1578" s="153"/>
      <c r="D1578" s="153"/>
      <c r="E1578" s="153"/>
      <c r="F1578" s="153"/>
      <c r="G1578" s="153"/>
      <c r="H1578" s="153"/>
      <c r="I1578" s="153"/>
      <c r="J1578" s="153"/>
      <c r="K1578" s="153"/>
      <c r="L1578" s="153"/>
      <c r="M1578" s="153"/>
      <c r="N1578" s="153"/>
    </row>
    <row r="1579" spans="2:14" ht="20">
      <c r="B1579" s="153"/>
      <c r="C1579" s="153"/>
      <c r="D1579" s="153"/>
      <c r="E1579" s="153"/>
      <c r="F1579" s="153"/>
      <c r="G1579" s="153"/>
      <c r="H1579" s="153"/>
      <c r="I1579" s="153"/>
      <c r="J1579" s="153"/>
      <c r="K1579" s="153"/>
      <c r="L1579" s="153"/>
      <c r="M1579" s="153"/>
      <c r="N1579" s="153"/>
    </row>
    <row r="1580" spans="2:14" ht="20">
      <c r="B1580" s="153"/>
      <c r="C1580" s="153"/>
      <c r="D1580" s="153"/>
      <c r="E1580" s="153"/>
      <c r="F1580" s="153"/>
      <c r="G1580" s="153"/>
      <c r="H1580" s="153"/>
      <c r="I1580" s="153"/>
      <c r="J1580" s="153"/>
      <c r="K1580" s="153"/>
      <c r="L1580" s="153"/>
      <c r="M1580" s="153"/>
      <c r="N1580" s="153"/>
    </row>
    <row r="1581" spans="2:14" ht="20">
      <c r="B1581" s="153"/>
      <c r="C1581" s="153"/>
      <c r="D1581" s="153"/>
      <c r="E1581" s="153"/>
      <c r="F1581" s="153"/>
      <c r="G1581" s="153"/>
      <c r="H1581" s="153"/>
      <c r="I1581" s="153"/>
      <c r="J1581" s="153"/>
      <c r="K1581" s="153"/>
      <c r="L1581" s="153"/>
      <c r="M1581" s="153"/>
      <c r="N1581" s="153"/>
    </row>
    <row r="1582" spans="2:14" ht="20">
      <c r="B1582" s="153"/>
      <c r="C1582" s="153"/>
      <c r="D1582" s="153"/>
      <c r="E1582" s="153"/>
      <c r="F1582" s="153"/>
      <c r="G1582" s="153"/>
      <c r="H1582" s="153"/>
      <c r="I1582" s="153"/>
      <c r="J1582" s="153"/>
      <c r="K1582" s="153"/>
      <c r="L1582" s="153"/>
      <c r="M1582" s="153"/>
      <c r="N1582" s="153"/>
    </row>
    <row r="1583" spans="2:14" ht="20">
      <c r="B1583" s="153"/>
      <c r="C1583" s="153"/>
      <c r="D1583" s="153"/>
      <c r="E1583" s="153"/>
      <c r="F1583" s="153"/>
      <c r="G1583" s="153"/>
      <c r="H1583" s="153"/>
      <c r="I1583" s="153"/>
      <c r="J1583" s="153"/>
      <c r="K1583" s="153"/>
      <c r="L1583" s="153"/>
      <c r="M1583" s="153"/>
      <c r="N1583" s="153"/>
    </row>
    <row r="1584" spans="2:14" ht="20">
      <c r="B1584" s="153"/>
      <c r="C1584" s="153"/>
      <c r="D1584" s="153"/>
      <c r="E1584" s="153"/>
      <c r="F1584" s="153"/>
      <c r="G1584" s="153"/>
      <c r="H1584" s="153"/>
      <c r="I1584" s="153"/>
      <c r="J1584" s="153"/>
      <c r="K1584" s="153"/>
      <c r="L1584" s="153"/>
      <c r="M1584" s="153"/>
      <c r="N1584" s="153"/>
    </row>
    <row r="1585" spans="2:14" ht="20">
      <c r="B1585" s="153"/>
      <c r="C1585" s="153"/>
      <c r="D1585" s="153"/>
      <c r="E1585" s="153"/>
      <c r="F1585" s="153"/>
      <c r="G1585" s="153"/>
      <c r="H1585" s="153"/>
      <c r="I1585" s="153"/>
      <c r="J1585" s="153"/>
      <c r="K1585" s="153"/>
      <c r="L1585" s="153"/>
      <c r="M1585" s="153"/>
      <c r="N1585" s="153"/>
    </row>
    <row r="1586" spans="2:14" ht="20">
      <c r="B1586" s="153"/>
      <c r="C1586" s="153"/>
      <c r="D1586" s="153"/>
      <c r="E1586" s="153"/>
      <c r="F1586" s="153"/>
      <c r="G1586" s="153"/>
      <c r="H1586" s="153"/>
      <c r="I1586" s="153"/>
      <c r="J1586" s="153"/>
      <c r="K1586" s="153"/>
      <c r="L1586" s="153"/>
      <c r="M1586" s="153"/>
      <c r="N1586" s="153"/>
    </row>
    <row r="1587" spans="2:14" ht="20">
      <c r="B1587" s="153"/>
      <c r="C1587" s="153"/>
      <c r="D1587" s="153"/>
      <c r="E1587" s="153"/>
      <c r="F1587" s="153"/>
      <c r="G1587" s="153"/>
      <c r="H1587" s="153"/>
      <c r="I1587" s="153"/>
      <c r="J1587" s="153"/>
      <c r="K1587" s="153"/>
      <c r="L1587" s="153"/>
      <c r="M1587" s="153"/>
      <c r="N1587" s="153"/>
    </row>
    <row r="1588" spans="2:14" ht="20">
      <c r="B1588" s="153"/>
      <c r="C1588" s="153"/>
      <c r="D1588" s="153"/>
      <c r="E1588" s="153"/>
      <c r="F1588" s="153"/>
      <c r="G1588" s="153"/>
      <c r="H1588" s="153"/>
      <c r="I1588" s="153"/>
      <c r="J1588" s="153"/>
      <c r="K1588" s="153"/>
      <c r="L1588" s="153"/>
      <c r="M1588" s="153"/>
      <c r="N1588" s="153"/>
    </row>
    <row r="1589" spans="2:14" ht="20">
      <c r="B1589" s="153"/>
      <c r="C1589" s="153"/>
      <c r="D1589" s="153"/>
      <c r="E1589" s="153"/>
      <c r="F1589" s="153"/>
      <c r="G1589" s="153"/>
      <c r="H1589" s="153"/>
      <c r="I1589" s="153"/>
      <c r="J1589" s="153"/>
      <c r="K1589" s="153"/>
      <c r="L1589" s="153"/>
      <c r="M1589" s="153"/>
      <c r="N1589" s="153"/>
    </row>
    <row r="1590" spans="2:14" ht="20">
      <c r="B1590" s="153"/>
      <c r="C1590" s="153"/>
      <c r="D1590" s="153"/>
      <c r="E1590" s="153"/>
      <c r="F1590" s="153"/>
      <c r="G1590" s="153"/>
      <c r="H1590" s="153"/>
      <c r="I1590" s="153"/>
      <c r="J1590" s="153"/>
      <c r="K1590" s="153"/>
      <c r="L1590" s="153"/>
      <c r="M1590" s="153"/>
      <c r="N1590" s="153"/>
    </row>
    <row r="1591" spans="2:14" ht="20">
      <c r="B1591" s="153"/>
      <c r="C1591" s="153"/>
      <c r="D1591" s="153"/>
      <c r="E1591" s="153"/>
      <c r="F1591" s="153"/>
      <c r="G1591" s="153"/>
      <c r="H1591" s="153"/>
      <c r="I1591" s="153"/>
      <c r="J1591" s="153"/>
      <c r="K1591" s="153"/>
      <c r="L1591" s="153"/>
      <c r="M1591" s="153"/>
      <c r="N1591" s="153"/>
    </row>
    <row r="1592" spans="2:14" ht="20">
      <c r="B1592" s="153"/>
      <c r="C1592" s="153"/>
      <c r="D1592" s="153"/>
      <c r="E1592" s="153"/>
      <c r="F1592" s="153"/>
      <c r="G1592" s="153"/>
      <c r="H1592" s="153"/>
      <c r="I1592" s="153"/>
      <c r="J1592" s="153"/>
      <c r="K1592" s="153"/>
      <c r="L1592" s="153"/>
      <c r="M1592" s="153"/>
      <c r="N1592" s="153"/>
    </row>
    <row r="1593" spans="2:14" ht="20">
      <c r="B1593" s="153"/>
      <c r="C1593" s="153"/>
      <c r="D1593" s="153"/>
      <c r="E1593" s="153"/>
      <c r="F1593" s="153"/>
      <c r="G1593" s="153"/>
      <c r="H1593" s="153"/>
      <c r="I1593" s="153"/>
      <c r="J1593" s="153"/>
      <c r="K1593" s="153"/>
      <c r="L1593" s="153"/>
      <c r="M1593" s="153"/>
      <c r="N1593" s="153"/>
    </row>
    <row r="1594" spans="2:14" ht="20">
      <c r="B1594" s="153"/>
      <c r="C1594" s="153"/>
      <c r="D1594" s="153"/>
      <c r="E1594" s="153"/>
      <c r="F1594" s="153"/>
      <c r="G1594" s="153"/>
      <c r="H1594" s="153"/>
      <c r="I1594" s="153"/>
      <c r="J1594" s="153"/>
      <c r="K1594" s="153"/>
      <c r="L1594" s="153"/>
      <c r="M1594" s="153"/>
      <c r="N1594" s="153"/>
    </row>
    <row r="1595" spans="2:14" ht="20">
      <c r="B1595" s="153"/>
      <c r="C1595" s="153"/>
      <c r="D1595" s="153"/>
      <c r="E1595" s="153"/>
      <c r="F1595" s="153"/>
      <c r="G1595" s="153"/>
      <c r="H1595" s="153"/>
      <c r="I1595" s="153"/>
      <c r="J1595" s="153"/>
      <c r="K1595" s="153"/>
      <c r="L1595" s="153"/>
      <c r="M1595" s="153"/>
      <c r="N1595" s="153"/>
    </row>
    <row r="1596" spans="2:14" ht="20">
      <c r="B1596" s="153"/>
      <c r="C1596" s="153"/>
      <c r="D1596" s="153"/>
      <c r="E1596" s="153"/>
      <c r="F1596" s="153"/>
      <c r="G1596" s="153"/>
      <c r="H1596" s="153"/>
      <c r="I1596" s="153"/>
      <c r="J1596" s="153"/>
      <c r="K1596" s="153"/>
      <c r="L1596" s="153"/>
      <c r="M1596" s="153"/>
      <c r="N1596" s="153"/>
    </row>
    <row r="1597" spans="2:14" ht="20">
      <c r="B1597" s="153"/>
      <c r="C1597" s="153"/>
      <c r="D1597" s="153"/>
      <c r="E1597" s="153"/>
      <c r="F1597" s="153"/>
      <c r="G1597" s="153"/>
      <c r="H1597" s="153"/>
      <c r="I1597" s="153"/>
      <c r="J1597" s="153"/>
      <c r="K1597" s="153"/>
      <c r="L1597" s="153"/>
      <c r="M1597" s="153"/>
      <c r="N1597" s="153"/>
    </row>
    <row r="1598" spans="2:14" ht="20">
      <c r="B1598" s="153"/>
      <c r="C1598" s="153"/>
      <c r="D1598" s="153"/>
      <c r="E1598" s="153"/>
      <c r="F1598" s="153"/>
      <c r="G1598" s="153"/>
      <c r="H1598" s="153"/>
      <c r="I1598" s="153"/>
      <c r="J1598" s="153"/>
      <c r="K1598" s="153"/>
      <c r="L1598" s="153"/>
      <c r="M1598" s="153"/>
      <c r="N1598" s="153"/>
    </row>
    <row r="1599" spans="2:14" ht="20">
      <c r="B1599" s="153"/>
      <c r="C1599" s="153"/>
      <c r="D1599" s="153"/>
      <c r="E1599" s="153"/>
      <c r="F1599" s="153"/>
      <c r="G1599" s="153"/>
      <c r="H1599" s="153"/>
      <c r="I1599" s="153"/>
      <c r="J1599" s="153"/>
      <c r="K1599" s="153"/>
      <c r="L1599" s="153"/>
      <c r="M1599" s="153"/>
      <c r="N1599" s="153"/>
    </row>
    <row r="1600" spans="2:14" ht="20">
      <c r="B1600" s="153"/>
      <c r="C1600" s="153"/>
      <c r="D1600" s="153"/>
      <c r="E1600" s="153"/>
      <c r="F1600" s="153"/>
      <c r="G1600" s="153"/>
      <c r="H1600" s="153"/>
      <c r="I1600" s="153"/>
      <c r="J1600" s="153"/>
      <c r="K1600" s="153"/>
      <c r="L1600" s="153"/>
      <c r="M1600" s="153"/>
      <c r="N1600" s="153"/>
    </row>
    <row r="1601" spans="2:14" ht="20">
      <c r="B1601" s="153"/>
      <c r="C1601" s="153"/>
      <c r="D1601" s="153"/>
      <c r="E1601" s="153"/>
      <c r="F1601" s="153"/>
      <c r="G1601" s="153"/>
      <c r="H1601" s="153"/>
      <c r="I1601" s="153"/>
      <c r="J1601" s="153"/>
      <c r="K1601" s="153"/>
      <c r="L1601" s="153"/>
      <c r="M1601" s="153"/>
      <c r="N1601" s="153"/>
    </row>
    <row r="1602" spans="2:14" ht="20">
      <c r="B1602" s="153"/>
      <c r="C1602" s="153"/>
      <c r="D1602" s="153"/>
      <c r="E1602" s="153"/>
      <c r="F1602" s="153"/>
      <c r="G1602" s="153"/>
      <c r="H1602" s="153"/>
      <c r="I1602" s="153"/>
      <c r="J1602" s="153"/>
      <c r="K1602" s="153"/>
      <c r="L1602" s="153"/>
      <c r="M1602" s="153"/>
      <c r="N1602" s="153"/>
    </row>
    <row r="1603" spans="2:14" ht="20">
      <c r="B1603" s="153"/>
      <c r="C1603" s="153"/>
      <c r="D1603" s="153"/>
      <c r="E1603" s="153"/>
      <c r="F1603" s="153"/>
      <c r="G1603" s="153"/>
      <c r="H1603" s="153"/>
      <c r="I1603" s="153"/>
      <c r="J1603" s="153"/>
      <c r="K1603" s="153"/>
      <c r="L1603" s="153"/>
      <c r="M1603" s="153"/>
      <c r="N1603" s="153"/>
    </row>
    <row r="1604" spans="2:14" ht="20">
      <c r="B1604" s="153"/>
      <c r="C1604" s="153"/>
      <c r="D1604" s="153"/>
      <c r="E1604" s="153"/>
      <c r="F1604" s="153"/>
      <c r="G1604" s="153"/>
      <c r="H1604" s="153"/>
      <c r="I1604" s="153"/>
      <c r="J1604" s="153"/>
      <c r="K1604" s="153"/>
    </row>
    <row r="1605" spans="2:14" ht="20">
      <c r="B1605" s="153"/>
      <c r="C1605" s="153"/>
      <c r="D1605" s="153"/>
      <c r="E1605" s="153"/>
      <c r="F1605" s="153"/>
      <c r="G1605" s="153"/>
      <c r="H1605" s="153"/>
      <c r="I1605" s="153"/>
      <c r="J1605" s="153"/>
      <c r="K1605" s="153"/>
    </row>
    <row r="1606" spans="2:14" ht="20">
      <c r="B1606" s="153"/>
      <c r="C1606" s="153"/>
      <c r="D1606" s="153"/>
      <c r="E1606" s="153"/>
      <c r="F1606" s="153"/>
      <c r="G1606" s="153"/>
      <c r="H1606" s="153"/>
      <c r="I1606" s="153"/>
      <c r="J1606" s="153"/>
      <c r="K1606" s="153"/>
    </row>
    <row r="1607" spans="2:14" ht="20">
      <c r="B1607" s="153"/>
      <c r="C1607" s="153"/>
      <c r="D1607" s="153"/>
      <c r="E1607" s="153"/>
      <c r="F1607" s="153"/>
      <c r="G1607" s="153"/>
      <c r="H1607" s="153"/>
      <c r="I1607" s="153"/>
      <c r="J1607" s="153"/>
      <c r="K1607" s="153"/>
    </row>
    <row r="1608" spans="2:14" ht="20">
      <c r="B1608" s="153"/>
      <c r="C1608" s="153"/>
      <c r="D1608" s="153"/>
      <c r="E1608" s="153"/>
      <c r="F1608" s="153"/>
      <c r="G1608" s="153"/>
      <c r="H1608" s="153"/>
      <c r="I1608" s="153"/>
      <c r="J1608" s="153"/>
      <c r="K1608" s="153"/>
    </row>
    <row r="1609" spans="2:14" ht="20">
      <c r="B1609" s="153"/>
      <c r="C1609" s="153"/>
      <c r="D1609" s="153"/>
      <c r="E1609" s="153"/>
      <c r="F1609" s="153"/>
      <c r="G1609" s="153"/>
      <c r="H1609" s="153"/>
      <c r="I1609" s="153"/>
      <c r="J1609" s="153"/>
      <c r="K1609" s="153"/>
    </row>
    <row r="1610" spans="2:14" ht="20">
      <c r="B1610" s="153"/>
      <c r="C1610" s="153"/>
      <c r="D1610" s="153"/>
      <c r="E1610" s="153"/>
      <c r="F1610" s="153"/>
      <c r="G1610" s="153"/>
      <c r="H1610" s="153"/>
      <c r="I1610" s="153"/>
      <c r="J1610" s="153"/>
      <c r="K1610" s="153"/>
    </row>
    <row r="1611" spans="2:14" ht="20">
      <c r="B1611" s="153"/>
      <c r="C1611" s="153"/>
      <c r="D1611" s="153"/>
      <c r="E1611" s="153"/>
      <c r="F1611" s="153"/>
      <c r="G1611" s="153"/>
      <c r="H1611" s="153"/>
      <c r="I1611" s="153"/>
      <c r="J1611" s="153"/>
      <c r="K1611" s="153"/>
    </row>
    <row r="1612" spans="2:14" ht="20">
      <c r="B1612" s="153"/>
      <c r="C1612" s="153"/>
      <c r="D1612" s="153"/>
      <c r="E1612" s="153"/>
      <c r="F1612" s="153"/>
      <c r="G1612" s="153"/>
      <c r="H1612" s="153"/>
      <c r="I1612" s="153"/>
      <c r="J1612" s="153"/>
      <c r="K1612" s="153"/>
    </row>
    <row r="1613" spans="2:14" ht="20">
      <c r="B1613" s="153"/>
      <c r="C1613" s="153"/>
      <c r="D1613" s="153"/>
      <c r="E1613" s="153"/>
      <c r="F1613" s="153"/>
      <c r="G1613" s="153"/>
      <c r="H1613" s="153"/>
      <c r="I1613" s="153"/>
      <c r="J1613" s="153"/>
      <c r="K1613" s="153"/>
    </row>
    <row r="1614" spans="2:14" ht="20">
      <c r="B1614" s="153"/>
      <c r="C1614" s="153"/>
      <c r="D1614" s="153"/>
      <c r="E1614" s="153"/>
      <c r="F1614" s="153"/>
      <c r="G1614" s="153"/>
      <c r="H1614" s="153"/>
      <c r="I1614" s="153"/>
      <c r="J1614" s="153"/>
      <c r="K1614" s="153"/>
    </row>
    <row r="1615" spans="2:14" ht="20">
      <c r="B1615" s="153"/>
      <c r="C1615" s="153"/>
      <c r="D1615" s="153"/>
      <c r="E1615" s="153"/>
      <c r="F1615" s="153"/>
      <c r="G1615" s="153"/>
      <c r="H1615" s="153"/>
      <c r="I1615" s="153"/>
      <c r="J1615" s="153"/>
      <c r="K1615" s="153"/>
    </row>
    <row r="1616" spans="2:14" ht="20">
      <c r="B1616" s="153"/>
      <c r="C1616" s="153"/>
      <c r="D1616" s="153"/>
      <c r="E1616" s="153"/>
      <c r="F1616" s="153"/>
      <c r="G1616" s="153"/>
      <c r="H1616" s="153"/>
      <c r="I1616" s="153"/>
      <c r="J1616" s="153"/>
      <c r="K1616" s="153"/>
    </row>
    <row r="1617" spans="2:11" ht="20">
      <c r="B1617" s="153"/>
      <c r="C1617" s="153"/>
      <c r="D1617" s="153"/>
      <c r="E1617" s="153"/>
      <c r="F1617" s="153"/>
      <c r="G1617" s="153"/>
      <c r="H1617" s="153"/>
      <c r="I1617" s="153"/>
      <c r="J1617" s="153"/>
      <c r="K1617" s="153"/>
    </row>
    <row r="1618" spans="2:11" ht="20">
      <c r="B1618" s="153"/>
      <c r="C1618" s="153"/>
      <c r="D1618" s="153"/>
      <c r="E1618" s="153"/>
      <c r="F1618" s="153"/>
      <c r="G1618" s="153"/>
      <c r="H1618" s="153"/>
      <c r="I1618" s="153"/>
      <c r="J1618" s="153"/>
      <c r="K1618" s="153"/>
    </row>
    <row r="1619" spans="2:11" ht="20">
      <c r="B1619" s="153"/>
      <c r="C1619" s="153"/>
      <c r="D1619" s="153"/>
      <c r="E1619" s="153"/>
      <c r="F1619" s="153"/>
      <c r="G1619" s="153"/>
      <c r="H1619" s="153"/>
      <c r="I1619" s="153"/>
      <c r="J1619" s="153"/>
      <c r="K1619" s="153"/>
    </row>
    <row r="1620" spans="2:11" ht="20">
      <c r="B1620" s="153"/>
      <c r="C1620" s="153"/>
      <c r="D1620" s="153"/>
      <c r="E1620" s="153"/>
      <c r="F1620" s="153"/>
      <c r="G1620" s="153"/>
      <c r="H1620" s="153"/>
      <c r="I1620" s="153"/>
      <c r="J1620" s="153"/>
      <c r="K1620" s="153"/>
    </row>
    <row r="1621" spans="2:11" ht="20">
      <c r="B1621" s="153"/>
      <c r="C1621" s="153"/>
      <c r="D1621" s="153"/>
      <c r="E1621" s="153"/>
      <c r="F1621" s="153"/>
      <c r="G1621" s="153"/>
      <c r="H1621" s="153"/>
      <c r="I1621" s="153"/>
      <c r="J1621" s="153"/>
      <c r="K1621" s="153"/>
    </row>
    <row r="1622" spans="2:11" ht="20">
      <c r="B1622" s="153"/>
      <c r="C1622" s="153"/>
      <c r="D1622" s="153"/>
      <c r="E1622" s="153"/>
      <c r="F1622" s="153"/>
      <c r="G1622" s="153"/>
      <c r="H1622" s="153"/>
      <c r="I1622" s="153"/>
      <c r="J1622" s="153"/>
      <c r="K1622" s="153"/>
    </row>
    <row r="1623" spans="2:11" ht="20">
      <c r="B1623" s="153"/>
      <c r="C1623" s="153"/>
      <c r="D1623" s="153"/>
      <c r="E1623" s="153"/>
      <c r="F1623" s="153"/>
      <c r="G1623" s="153"/>
      <c r="H1623" s="153"/>
      <c r="I1623" s="153"/>
      <c r="J1623" s="153"/>
      <c r="K1623" s="153"/>
    </row>
    <row r="1624" spans="2:11" ht="20">
      <c r="B1624" s="153"/>
      <c r="C1624" s="153"/>
      <c r="D1624" s="153"/>
      <c r="E1624" s="153"/>
      <c r="F1624" s="153"/>
      <c r="G1624" s="153"/>
      <c r="H1624" s="153"/>
      <c r="I1624" s="153"/>
      <c r="J1624" s="153"/>
      <c r="K1624" s="153"/>
    </row>
    <row r="1625" spans="2:11" ht="20">
      <c r="B1625" s="153"/>
      <c r="C1625" s="153"/>
      <c r="D1625" s="153"/>
      <c r="E1625" s="153"/>
      <c r="F1625" s="153"/>
      <c r="G1625" s="153"/>
      <c r="H1625" s="153"/>
      <c r="I1625" s="153"/>
      <c r="J1625" s="153"/>
      <c r="K1625" s="153"/>
    </row>
    <row r="1626" spans="2:11" ht="20">
      <c r="B1626" s="153"/>
      <c r="C1626" s="153"/>
      <c r="D1626" s="153"/>
      <c r="E1626" s="153"/>
      <c r="F1626" s="153"/>
      <c r="G1626" s="153"/>
      <c r="H1626" s="153"/>
      <c r="I1626" s="153"/>
      <c r="J1626" s="153"/>
      <c r="K1626" s="153"/>
    </row>
    <row r="1627" spans="2:11" ht="20">
      <c r="B1627" s="153"/>
      <c r="C1627" s="153"/>
      <c r="D1627" s="153"/>
      <c r="E1627" s="153"/>
      <c r="F1627" s="153"/>
      <c r="G1627" s="153"/>
      <c r="H1627" s="153"/>
      <c r="I1627" s="153"/>
      <c r="J1627" s="153"/>
      <c r="K1627" s="153"/>
    </row>
    <row r="1628" spans="2:11" ht="20">
      <c r="B1628" s="153"/>
      <c r="C1628" s="153"/>
      <c r="D1628" s="153"/>
      <c r="E1628" s="153"/>
      <c r="F1628" s="153"/>
      <c r="G1628" s="153"/>
      <c r="H1628" s="153"/>
      <c r="I1628" s="153"/>
      <c r="J1628" s="153"/>
      <c r="K1628" s="153"/>
    </row>
    <row r="1629" spans="2:11" ht="20">
      <c r="B1629" s="153"/>
      <c r="C1629" s="153"/>
      <c r="D1629" s="153"/>
      <c r="E1629" s="153"/>
      <c r="F1629" s="153"/>
      <c r="G1629" s="153"/>
      <c r="H1629" s="153"/>
      <c r="I1629" s="153"/>
      <c r="J1629" s="153"/>
      <c r="K1629" s="153"/>
    </row>
  </sheetData>
  <sheetProtection password="C665" sheet="1" objects="1" scenarios="1" formatCells="0" selectLockedCells="1"/>
  <mergeCells count="481">
    <mergeCell ref="M15:M16"/>
    <mergeCell ref="N15:N16"/>
    <mergeCell ref="B1128:F1129"/>
    <mergeCell ref="I1128:K1129"/>
    <mergeCell ref="G1128:G1129"/>
    <mergeCell ref="L1128:M1129"/>
    <mergeCell ref="N1128:N1129"/>
    <mergeCell ref="N1124:N1125"/>
    <mergeCell ref="B1000:N1001"/>
    <mergeCell ref="A15:A16"/>
    <mergeCell ref="A477:A478"/>
    <mergeCell ref="A741:A742"/>
    <mergeCell ref="A739:A740"/>
    <mergeCell ref="A940:A941"/>
    <mergeCell ref="A994:A995"/>
    <mergeCell ref="A18:A19"/>
    <mergeCell ref="A21:A22"/>
    <mergeCell ref="A24:A25"/>
    <mergeCell ref="A27:A28"/>
    <mergeCell ref="A497:A498"/>
    <mergeCell ref="A499:A500"/>
    <mergeCell ref="A501:A502"/>
    <mergeCell ref="A503:A504"/>
    <mergeCell ref="A505:A506"/>
    <mergeCell ref="A507:A508"/>
    <mergeCell ref="A509:A510"/>
    <mergeCell ref="A733:A734"/>
    <mergeCell ref="A463:A464"/>
    <mergeCell ref="A465:A466"/>
    <mergeCell ref="A467:A468"/>
    <mergeCell ref="A473:A474"/>
    <mergeCell ref="A469:A470"/>
    <mergeCell ref="A471:A472"/>
    <mergeCell ref="F1134:K1135"/>
    <mergeCell ref="N809:N810"/>
    <mergeCell ref="M809:M810"/>
    <mergeCell ref="K811:L812"/>
    <mergeCell ref="M811:M812"/>
    <mergeCell ref="N811:N812"/>
    <mergeCell ref="K808:L810"/>
    <mergeCell ref="N1122:N1123"/>
    <mergeCell ref="H1128:H1129"/>
    <mergeCell ref="I1122:K1123"/>
    <mergeCell ref="I1124:K1125"/>
    <mergeCell ref="M1124:M1125"/>
    <mergeCell ref="L1122:M1123"/>
    <mergeCell ref="K986:L986"/>
    <mergeCell ref="M986:N986"/>
    <mergeCell ref="E948:K951"/>
    <mergeCell ref="K813:L814"/>
    <mergeCell ref="M813:M814"/>
    <mergeCell ref="N813:N814"/>
    <mergeCell ref="K815:L816"/>
    <mergeCell ref="M815:M816"/>
    <mergeCell ref="N815:N816"/>
    <mergeCell ref="B1107:F1107"/>
    <mergeCell ref="B1108:F1108"/>
    <mergeCell ref="B1113:F1113"/>
    <mergeCell ref="B1117:F1117"/>
    <mergeCell ref="B1114:F1114"/>
    <mergeCell ref="B1115:F1115"/>
    <mergeCell ref="B1103:F1103"/>
    <mergeCell ref="G1103:H1103"/>
    <mergeCell ref="I1126:K1127"/>
    <mergeCell ref="N1126:N1127"/>
    <mergeCell ref="B1122:F1123"/>
    <mergeCell ref="B1124:F1125"/>
    <mergeCell ref="F1118:K1119"/>
    <mergeCell ref="G1122:G1123"/>
    <mergeCell ref="G1124:G1125"/>
    <mergeCell ref="H1122:H1123"/>
    <mergeCell ref="H1124:H1125"/>
    <mergeCell ref="B1126:F1127"/>
    <mergeCell ref="G1126:G1127"/>
    <mergeCell ref="H1126:H1127"/>
    <mergeCell ref="L1126:M1127"/>
    <mergeCell ref="B1109:F1109"/>
    <mergeCell ref="I1103:J1103"/>
    <mergeCell ref="K1103:L1103"/>
    <mergeCell ref="M1103:N1103"/>
    <mergeCell ref="B1101:J1102"/>
    <mergeCell ref="K1101:K1102"/>
    <mergeCell ref="L1101:N1102"/>
    <mergeCell ref="B1110:F1110"/>
    <mergeCell ref="B1111:F1111"/>
    <mergeCell ref="B1112:F1112"/>
    <mergeCell ref="C1088:D1088"/>
    <mergeCell ref="E1091:E1092"/>
    <mergeCell ref="F1091:F1092"/>
    <mergeCell ref="G1091:G1092"/>
    <mergeCell ref="C1092:D1092"/>
    <mergeCell ref="L945:L946"/>
    <mergeCell ref="E953:K954"/>
    <mergeCell ref="C1086:D1086"/>
    <mergeCell ref="C1094:D1094"/>
    <mergeCell ref="C1096:D1096"/>
    <mergeCell ref="C1098:F1098"/>
    <mergeCell ref="F984:J985"/>
    <mergeCell ref="B986:F986"/>
    <mergeCell ref="G986:H986"/>
    <mergeCell ref="I986:J986"/>
    <mergeCell ref="B987:F987"/>
    <mergeCell ref="B988:F988"/>
    <mergeCell ref="B989:F989"/>
    <mergeCell ref="B990:F990"/>
    <mergeCell ref="F1020:J1021"/>
    <mergeCell ref="E1071:K1072"/>
    <mergeCell ref="B991:F991"/>
    <mergeCell ref="B993:F993"/>
    <mergeCell ref="B992:F992"/>
    <mergeCell ref="B994:F994"/>
    <mergeCell ref="B995:F995"/>
    <mergeCell ref="B996:F996"/>
    <mergeCell ref="B998:F998"/>
    <mergeCell ref="E934:E935"/>
    <mergeCell ref="F934:F935"/>
    <mergeCell ref="M918:N920"/>
    <mergeCell ref="F922:G922"/>
    <mergeCell ref="G918:G920"/>
    <mergeCell ref="I919:I920"/>
    <mergeCell ref="I932:M933"/>
    <mergeCell ref="I934:K935"/>
    <mergeCell ref="E855:K857"/>
    <mergeCell ref="H865:I866"/>
    <mergeCell ref="E868:F868"/>
    <mergeCell ref="J868:K869"/>
    <mergeCell ref="E886:E887"/>
    <mergeCell ref="E892:E893"/>
    <mergeCell ref="B503:F503"/>
    <mergeCell ref="B737:F737"/>
    <mergeCell ref="I715:I721"/>
    <mergeCell ref="B716:C722"/>
    <mergeCell ref="B731:N733"/>
    <mergeCell ref="G734:H734"/>
    <mergeCell ref="I734:J734"/>
    <mergeCell ref="K734:L734"/>
    <mergeCell ref="B621:N622"/>
    <mergeCell ref="H660:H666"/>
    <mergeCell ref="B661:C667"/>
    <mergeCell ref="D652:F654"/>
    <mergeCell ref="I660:I666"/>
    <mergeCell ref="N662:N666"/>
    <mergeCell ref="J673:L675"/>
    <mergeCell ref="D648:F649"/>
    <mergeCell ref="J648:L650"/>
    <mergeCell ref="I634:J635"/>
    <mergeCell ref="L634:M635"/>
    <mergeCell ref="B507:D507"/>
    <mergeCell ref="J728:L730"/>
    <mergeCell ref="K892:L892"/>
    <mergeCell ref="K914:L915"/>
    <mergeCell ref="D914:E915"/>
    <mergeCell ref="F863:G863"/>
    <mergeCell ref="C884:D884"/>
    <mergeCell ref="H908:I908"/>
    <mergeCell ref="B508:N509"/>
    <mergeCell ref="D728:E730"/>
    <mergeCell ref="F729:F730"/>
    <mergeCell ref="M729:M730"/>
    <mergeCell ref="B741:F741"/>
    <mergeCell ref="B742:F742"/>
    <mergeCell ref="B739:F739"/>
    <mergeCell ref="B743:F743"/>
    <mergeCell ref="B744:F744"/>
    <mergeCell ref="B745:F745"/>
    <mergeCell ref="M734:N734"/>
    <mergeCell ref="B734:F734"/>
    <mergeCell ref="B735:F735"/>
    <mergeCell ref="B736:F736"/>
    <mergeCell ref="M906:N907"/>
    <mergeCell ref="M914:N915"/>
    <mergeCell ref="B740:F740"/>
    <mergeCell ref="B738:F738"/>
    <mergeCell ref="J652:L654"/>
    <mergeCell ref="F636:G637"/>
    <mergeCell ref="C636:D637"/>
    <mergeCell ref="B64:H66"/>
    <mergeCell ref="B69:H71"/>
    <mergeCell ref="B74:H76"/>
    <mergeCell ref="E79:E81"/>
    <mergeCell ref="F79:F81"/>
    <mergeCell ref="H22:H24"/>
    <mergeCell ref="L341:M342"/>
    <mergeCell ref="D300:D301"/>
    <mergeCell ref="D335:F336"/>
    <mergeCell ref="J335:L336"/>
    <mergeCell ref="M344:M345"/>
    <mergeCell ref="B471:D471"/>
    <mergeCell ref="B500:F500"/>
    <mergeCell ref="B388:C389"/>
    <mergeCell ref="H457:I458"/>
    <mergeCell ref="H452:I456"/>
    <mergeCell ref="H431:I432"/>
    <mergeCell ref="H435:I436"/>
    <mergeCell ref="H249:I250"/>
    <mergeCell ref="H292:I292"/>
    <mergeCell ref="B59:E61"/>
    <mergeCell ref="B79:D81"/>
    <mergeCell ref="H26:H28"/>
    <mergeCell ref="E22:E24"/>
    <mergeCell ref="B44:D46"/>
    <mergeCell ref="B49:G51"/>
    <mergeCell ref="B54:D56"/>
    <mergeCell ref="E54:E56"/>
    <mergeCell ref="F54:F56"/>
    <mergeCell ref="B22:D24"/>
    <mergeCell ref="E26:E28"/>
    <mergeCell ref="E40:E42"/>
    <mergeCell ref="E44:E46"/>
    <mergeCell ref="B40:D42"/>
    <mergeCell ref="G26:G28"/>
    <mergeCell ref="G40:G42"/>
    <mergeCell ref="F59:F61"/>
    <mergeCell ref="G59:G61"/>
    <mergeCell ref="B36:F38"/>
    <mergeCell ref="G31:G33"/>
    <mergeCell ref="G22:G24"/>
    <mergeCell ref="F22:F24"/>
    <mergeCell ref="F26:F28"/>
    <mergeCell ref="H31:H33"/>
    <mergeCell ref="F40:F42"/>
    <mergeCell ref="F44:F46"/>
    <mergeCell ref="H40:H42"/>
    <mergeCell ref="A30:A31"/>
    <mergeCell ref="A34:A35"/>
    <mergeCell ref="L100:M102"/>
    <mergeCell ref="B346:C347"/>
    <mergeCell ref="B363:C368"/>
    <mergeCell ref="L363:L368"/>
    <mergeCell ref="G363:H368"/>
    <mergeCell ref="J344:J345"/>
    <mergeCell ref="B26:D28"/>
    <mergeCell ref="B31:F33"/>
    <mergeCell ref="E102:F103"/>
    <mergeCell ref="F243:J244"/>
    <mergeCell ref="D247:D248"/>
    <mergeCell ref="F146:J147"/>
    <mergeCell ref="K348:K349"/>
    <mergeCell ref="F344:G345"/>
    <mergeCell ref="C344:D345"/>
    <mergeCell ref="D341:D342"/>
    <mergeCell ref="E341:E342"/>
    <mergeCell ref="F341:G342"/>
    <mergeCell ref="I341:J342"/>
    <mergeCell ref="E347:E348"/>
    <mergeCell ref="G304:G306"/>
    <mergeCell ref="I305:I306"/>
    <mergeCell ref="B7:H7"/>
    <mergeCell ref="I7:N7"/>
    <mergeCell ref="I8:N8"/>
    <mergeCell ref="B8:H8"/>
    <mergeCell ref="M10:M11"/>
    <mergeCell ref="F19:F20"/>
    <mergeCell ref="E19:E20"/>
    <mergeCell ref="N10:N11"/>
    <mergeCell ref="I10:I11"/>
    <mergeCell ref="J10:J11"/>
    <mergeCell ref="C10:D11"/>
    <mergeCell ref="F10:H11"/>
    <mergeCell ref="K10:L11"/>
    <mergeCell ref="F16:F18"/>
    <mergeCell ref="H16:H18"/>
    <mergeCell ref="B16:D18"/>
    <mergeCell ref="G16:G18"/>
    <mergeCell ref="B1:N2"/>
    <mergeCell ref="H13:I13"/>
    <mergeCell ref="M123:N129"/>
    <mergeCell ref="H449:I450"/>
    <mergeCell ref="K341:K342"/>
    <mergeCell ref="C337:M338"/>
    <mergeCell ref="J384:K385"/>
    <mergeCell ref="N443:N444"/>
    <mergeCell ref="N404:N405"/>
    <mergeCell ref="N431:N432"/>
    <mergeCell ref="N345:N346"/>
    <mergeCell ref="N363:N368"/>
    <mergeCell ref="N388:N389"/>
    <mergeCell ref="K399:L400"/>
    <mergeCell ref="K415:L416"/>
    <mergeCell ref="I391:I396"/>
    <mergeCell ref="H444:I445"/>
    <mergeCell ref="F384:G385"/>
    <mergeCell ref="G351:I353"/>
    <mergeCell ref="K276:L276"/>
    <mergeCell ref="E270:E271"/>
    <mergeCell ref="E276:E277"/>
    <mergeCell ref="E252:F252"/>
    <mergeCell ref="M269:N270"/>
    <mergeCell ref="J252:K253"/>
    <mergeCell ref="F183:J184"/>
    <mergeCell ref="M165:N169"/>
    <mergeCell ref="C384:D385"/>
    <mergeCell ref="E365:E369"/>
    <mergeCell ref="B281:C281"/>
    <mergeCell ref="D363:D367"/>
    <mergeCell ref="H425:I429"/>
    <mergeCell ref="H414:I415"/>
    <mergeCell ref="H404:I405"/>
    <mergeCell ref="H388:I389"/>
    <mergeCell ref="H398:I399"/>
    <mergeCell ref="H422:I423"/>
    <mergeCell ref="I407:I412"/>
    <mergeCell ref="B404:C405"/>
    <mergeCell ref="H438:I442"/>
    <mergeCell ref="K364:K370"/>
    <mergeCell ref="I363:I369"/>
    <mergeCell ref="M457:N458"/>
    <mergeCell ref="B468:E468"/>
    <mergeCell ref="B463:C463"/>
    <mergeCell ref="B464:C464"/>
    <mergeCell ref="B465:C465"/>
    <mergeCell ref="B466:C466"/>
    <mergeCell ref="B443:C444"/>
    <mergeCell ref="B431:C432"/>
    <mergeCell ref="G499:H499"/>
    <mergeCell ref="K499:L499"/>
    <mergeCell ref="G470:H470"/>
    <mergeCell ref="I470:J470"/>
    <mergeCell ref="M499:N499"/>
    <mergeCell ref="I499:J499"/>
    <mergeCell ref="E470:F470"/>
    <mergeCell ref="B476:D476"/>
    <mergeCell ref="L463:N463"/>
    <mergeCell ref="B418:N419"/>
    <mergeCell ref="B545:N546"/>
    <mergeCell ref="K100:K102"/>
    <mergeCell ref="B478:D480"/>
    <mergeCell ref="L478:L480"/>
    <mergeCell ref="M478:M480"/>
    <mergeCell ref="B339:N340"/>
    <mergeCell ref="B386:N387"/>
    <mergeCell ref="B245:N246"/>
    <mergeCell ref="B149:N150"/>
    <mergeCell ref="B461:N462"/>
    <mergeCell ref="B504:D504"/>
    <mergeCell ref="B505:D505"/>
    <mergeCell ref="C100:D102"/>
    <mergeCell ref="H100:I102"/>
    <mergeCell ref="J100:J102"/>
    <mergeCell ref="B481:N482"/>
    <mergeCell ref="B497:N498"/>
    <mergeCell ref="B506:D506"/>
    <mergeCell ref="B499:D499"/>
    <mergeCell ref="M384:N385"/>
    <mergeCell ref="B467:C467"/>
    <mergeCell ref="C457:D458"/>
    <mergeCell ref="B104:N105"/>
    <mergeCell ref="M780:N780"/>
    <mergeCell ref="G770:I770"/>
    <mergeCell ref="G778:I778"/>
    <mergeCell ref="N781:N782"/>
    <mergeCell ref="K807:L807"/>
    <mergeCell ref="M650:M651"/>
    <mergeCell ref="F650:G651"/>
    <mergeCell ref="F705:G706"/>
    <mergeCell ref="M705:M706"/>
    <mergeCell ref="B746:F746"/>
    <mergeCell ref="D673:E675"/>
    <mergeCell ref="F674:F675"/>
    <mergeCell ref="M674:M675"/>
    <mergeCell ref="N717:N721"/>
    <mergeCell ref="B676:N677"/>
    <mergeCell ref="I689:J690"/>
    <mergeCell ref="L689:M690"/>
    <mergeCell ref="C691:D692"/>
    <mergeCell ref="F691:G692"/>
    <mergeCell ref="D703:F704"/>
    <mergeCell ref="J703:L705"/>
    <mergeCell ref="D707:F709"/>
    <mergeCell ref="J707:L709"/>
    <mergeCell ref="H715:H721"/>
    <mergeCell ref="B941:D941"/>
    <mergeCell ref="B936:D936"/>
    <mergeCell ref="B937:D937"/>
    <mergeCell ref="B938:D938"/>
    <mergeCell ref="B939:D939"/>
    <mergeCell ref="B940:D940"/>
    <mergeCell ref="G784:I784"/>
    <mergeCell ref="B926:N929"/>
    <mergeCell ref="B788:I791"/>
    <mergeCell ref="B792:I794"/>
    <mergeCell ref="B795:I798"/>
    <mergeCell ref="B799:I801"/>
    <mergeCell ref="B802:I807"/>
    <mergeCell ref="B932:H933"/>
    <mergeCell ref="B934:D935"/>
    <mergeCell ref="E930:J931"/>
    <mergeCell ref="G934:H935"/>
    <mergeCell ref="L934:M935"/>
    <mergeCell ref="J791:J792"/>
    <mergeCell ref="K805:L806"/>
    <mergeCell ref="D842:D843"/>
    <mergeCell ref="M875:N875"/>
    <mergeCell ref="M885:N885"/>
    <mergeCell ref="M895:N895"/>
    <mergeCell ref="C978:D978"/>
    <mergeCell ref="C970:D970"/>
    <mergeCell ref="C968:D968"/>
    <mergeCell ref="E971:E972"/>
    <mergeCell ref="G971:G972"/>
    <mergeCell ref="F971:F972"/>
    <mergeCell ref="B943:D943"/>
    <mergeCell ref="B945:D946"/>
    <mergeCell ref="G945:G946"/>
    <mergeCell ref="C962:D962"/>
    <mergeCell ref="C964:D964"/>
    <mergeCell ref="C966:D966"/>
    <mergeCell ref="C972:D972"/>
    <mergeCell ref="A475:A476"/>
    <mergeCell ref="A735:A736"/>
    <mergeCell ref="A737:A738"/>
    <mergeCell ref="A743:A744"/>
    <mergeCell ref="A745:A746"/>
    <mergeCell ref="A932:A933"/>
    <mergeCell ref="A934:A935"/>
    <mergeCell ref="A936:A937"/>
    <mergeCell ref="A938:A939"/>
    <mergeCell ref="B875:C875"/>
    <mergeCell ref="B868:C869"/>
    <mergeCell ref="M868:N869"/>
    <mergeCell ref="F758:I760"/>
    <mergeCell ref="K758:M760"/>
    <mergeCell ref="J750:N754"/>
    <mergeCell ref="J755:N757"/>
    <mergeCell ref="E747:J749"/>
    <mergeCell ref="B750:D752"/>
    <mergeCell ref="G750:H752"/>
    <mergeCell ref="B753:D755"/>
    <mergeCell ref="E753:G755"/>
    <mergeCell ref="C826:D827"/>
    <mergeCell ref="N783:N784"/>
    <mergeCell ref="B756:E757"/>
    <mergeCell ref="L775:M776"/>
    <mergeCell ref="B758:D760"/>
    <mergeCell ref="J775:J777"/>
    <mergeCell ref="J772:J774"/>
    <mergeCell ref="J769:J770"/>
    <mergeCell ref="J778:J779"/>
    <mergeCell ref="G769:I769"/>
    <mergeCell ref="G779:I779"/>
    <mergeCell ref="G774:I774"/>
    <mergeCell ref="A1103:A1104"/>
    <mergeCell ref="A1105:A1106"/>
    <mergeCell ref="A1107:A1108"/>
    <mergeCell ref="A1109:A1110"/>
    <mergeCell ref="A1111:A1112"/>
    <mergeCell ref="A1113:A1114"/>
    <mergeCell ref="A1115:A1116"/>
    <mergeCell ref="A942:A943"/>
    <mergeCell ref="A944:A945"/>
    <mergeCell ref="A946:A947"/>
    <mergeCell ref="A986:A987"/>
    <mergeCell ref="A988:A989"/>
    <mergeCell ref="A990:A991"/>
    <mergeCell ref="A992:A993"/>
    <mergeCell ref="A996:A997"/>
    <mergeCell ref="A998:A999"/>
    <mergeCell ref="F1136:K1137"/>
    <mergeCell ref="J14:L14"/>
    <mergeCell ref="B1106:F1106"/>
    <mergeCell ref="B1105:F1105"/>
    <mergeCell ref="B1104:F1104"/>
    <mergeCell ref="C1090:D1090"/>
    <mergeCell ref="C1084:D1084"/>
    <mergeCell ref="C1082:D1082"/>
    <mergeCell ref="B942:D942"/>
    <mergeCell ref="B914:C915"/>
    <mergeCell ref="B906:C907"/>
    <mergeCell ref="C896:D896"/>
    <mergeCell ref="B895:C895"/>
    <mergeCell ref="B885:C885"/>
    <mergeCell ref="B502:F502"/>
    <mergeCell ref="B501:F501"/>
    <mergeCell ref="B477:D477"/>
    <mergeCell ref="B475:D475"/>
    <mergeCell ref="B474:D474"/>
    <mergeCell ref="B473:D473"/>
    <mergeCell ref="B470:D470"/>
    <mergeCell ref="C976:D976"/>
    <mergeCell ref="C980:F980"/>
    <mergeCell ref="C974:D974"/>
  </mergeCells>
  <pageMargins left="0" right="0" top="0" bottom="0" header="0" footer="0"/>
  <pageSetup paperSize="142" scale="10" fitToWidth="0" fitToHeight="0" orientation="portrait" horizontalDpi="2400" verticalDpi="2400" r:id="rId1"/>
  <headerFooter scaleWithDoc="0"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3:AT386"/>
  <sheetViews>
    <sheetView topLeftCell="AI1" workbookViewId="0">
      <selection activeCell="AS1" sqref="AS1"/>
    </sheetView>
  </sheetViews>
  <sheetFormatPr defaultRowHeight="14.5"/>
  <cols>
    <col min="1" max="7" width="8.7265625" style="4"/>
    <col min="8" max="8" width="8.90625" style="4" bestFit="1" customWidth="1"/>
    <col min="9" max="9" width="10.453125" style="4" customWidth="1"/>
    <col min="10" max="17" width="8.7265625" style="4"/>
    <col min="18" max="18" width="15.54296875" style="4" customWidth="1"/>
    <col min="19" max="19" width="8.7265625" style="4"/>
    <col min="20" max="20" width="9.90625" style="4" bestFit="1" customWidth="1"/>
    <col min="21" max="45" width="8.7265625" style="4"/>
    <col min="46" max="46" width="11.81640625" style="4" customWidth="1"/>
    <col min="47" max="47" width="45.7265625" style="4" customWidth="1"/>
    <col min="48" max="16384" width="8.7265625" style="4"/>
  </cols>
  <sheetData>
    <row r="3" spans="1:34">
      <c r="N3" s="4">
        <v>0</v>
      </c>
      <c r="O3" s="4" t="s">
        <v>8</v>
      </c>
      <c r="P3" s="543">
        <v>1</v>
      </c>
      <c r="Q3" s="4">
        <f>IF($K$4=1,закулисье!E55,закулисье!G55)</f>
        <v>1191.4733908327371</v>
      </c>
      <c r="R3" s="544">
        <v>6</v>
      </c>
    </row>
    <row r="4" spans="1:34" ht="29">
      <c r="C4" s="5" t="s">
        <v>7</v>
      </c>
      <c r="D4" s="5" t="s">
        <v>1</v>
      </c>
      <c r="E4" s="545" t="s">
        <v>3</v>
      </c>
      <c r="F4" s="545" t="s">
        <v>2</v>
      </c>
      <c r="G4" s="545" t="s">
        <v>4</v>
      </c>
      <c r="H4" s="545"/>
      <c r="I4" s="545" t="s">
        <v>5</v>
      </c>
      <c r="J4" s="545" t="s">
        <v>9</v>
      </c>
      <c r="K4" s="543">
        <v>1</v>
      </c>
      <c r="L4" s="4" t="str">
        <f>IF(K4=1,"7/12","5/12")</f>
        <v>7/12</v>
      </c>
      <c r="N4" s="4">
        <v>3</v>
      </c>
      <c r="O4" s="4" t="s">
        <v>25</v>
      </c>
      <c r="Q4" s="4">
        <f>IF($K$4=1,закулисье!E56,закулисье!G56)</f>
        <v>1402.4635606945126</v>
      </c>
      <c r="R4" s="544">
        <v>8</v>
      </c>
    </row>
    <row r="5" spans="1:34" ht="34.5" customHeight="1">
      <c r="K5" s="4">
        <f>IF(Y13=0,K4,IF(T13=7/12,1,2))</f>
        <v>1</v>
      </c>
      <c r="L5" s="4" t="str">
        <f>IF($Y$13=0,закулисье!L4,T13)</f>
        <v>7/12</v>
      </c>
      <c r="N5" s="4">
        <v>5</v>
      </c>
      <c r="O5" s="4" t="s">
        <v>10</v>
      </c>
      <c r="Q5" s="4">
        <f>IF($K$4=1,закулисье!E57,закулисье!G57)</f>
        <v>1560.1977326654364</v>
      </c>
      <c r="R5" s="544">
        <v>8</v>
      </c>
    </row>
    <row r="6" spans="1:34">
      <c r="C6" s="4">
        <v>61</v>
      </c>
      <c r="D6" s="4" t="s">
        <v>16</v>
      </c>
      <c r="E6" s="4">
        <f>J6*2</f>
        <v>345</v>
      </c>
      <c r="F6" s="4">
        <f>J6*8</f>
        <v>1380</v>
      </c>
      <c r="G6" s="4">
        <f>E6+F6</f>
        <v>1725</v>
      </c>
      <c r="I6" s="4">
        <f>G6</f>
        <v>1725</v>
      </c>
      <c r="J6" s="4">
        <v>172.5</v>
      </c>
      <c r="N6" s="4">
        <v>0</v>
      </c>
      <c r="O6" s="4" t="s">
        <v>15</v>
      </c>
      <c r="Q6" s="4">
        <f>IF($K$4=1,закулисье!E58,закулисье!G58)</f>
        <v>2000</v>
      </c>
      <c r="R6" s="544">
        <v>6</v>
      </c>
    </row>
    <row r="7" spans="1:34">
      <c r="C7" s="4">
        <v>46</v>
      </c>
      <c r="D7" s="4" t="s">
        <v>17</v>
      </c>
      <c r="E7" s="4">
        <f>J7*2</f>
        <v>255</v>
      </c>
      <c r="F7" s="4">
        <f>J7*8</f>
        <v>1020</v>
      </c>
      <c r="G7" s="4">
        <f>E7+F7</f>
        <v>1275</v>
      </c>
      <c r="I7" s="4">
        <f>G7</f>
        <v>1275</v>
      </c>
      <c r="J7" s="4">
        <v>127.5</v>
      </c>
      <c r="N7" s="4">
        <f>INDEX(N3:N6,P3)</f>
        <v>0</v>
      </c>
      <c r="Q7" s="4">
        <f>INDEX($O$3:$Q$6,$P$3,3)</f>
        <v>1191.4733908327371</v>
      </c>
      <c r="R7" s="544">
        <f>INDEX(O3:R6,$P$3,4)</f>
        <v>6</v>
      </c>
    </row>
    <row r="12" spans="1:34" ht="31" customHeight="1">
      <c r="A12" s="546"/>
      <c r="B12" s="547"/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861" t="s">
        <v>815</v>
      </c>
      <c r="O12" s="862"/>
      <c r="P12" s="861" t="s">
        <v>51</v>
      </c>
      <c r="Q12" s="862"/>
      <c r="R12" s="5"/>
      <c r="S12" s="5"/>
      <c r="T12" s="549" t="e">
        <f>FIND("#",Заявка!$B$8)+1</f>
        <v>#VALUE!</v>
      </c>
      <c r="U12" s="550" t="e">
        <f>FIND("D",Заявка!$B$8)+1</f>
        <v>#VALUE!</v>
      </c>
      <c r="V12" s="550" t="e">
        <f>FIND("R",Заявка!$B$8)+1</f>
        <v>#VALUE!</v>
      </c>
      <c r="W12" s="549" t="e">
        <f>FIND("beams_",Заявка!$B$8)+6</f>
        <v>#VALUE!</v>
      </c>
      <c r="X12" s="549" t="e">
        <f>FIND("x",Заявка!$B$8,45)+1</f>
        <v>#VALUE!</v>
      </c>
      <c r="Y12" s="551" t="e">
        <f>MID(Заявка!$B$8,U12,4)</f>
        <v>#VALUE!</v>
      </c>
      <c r="Z12" s="552" t="e">
        <f>MID(Заявка!$B$8,V12,5)</f>
        <v>#VALUE!</v>
      </c>
      <c r="AA12" s="552" t="e">
        <f>MID(Заявка!$B$8,W12,5)</f>
        <v>#VALUE!</v>
      </c>
    </row>
    <row r="13" spans="1:34" ht="30" customHeight="1">
      <c r="A13" s="546"/>
      <c r="B13" s="104"/>
      <c r="C13" s="553" t="s">
        <v>20</v>
      </c>
      <c r="D13" s="554" t="s">
        <v>21</v>
      </c>
      <c r="E13" s="555" t="s">
        <v>22</v>
      </c>
      <c r="F13" s="553" t="s">
        <v>28</v>
      </c>
      <c r="G13" s="556" t="s">
        <v>29</v>
      </c>
      <c r="H13" s="557" t="s">
        <v>30</v>
      </c>
      <c r="I13" s="558" t="s">
        <v>31</v>
      </c>
      <c r="J13" s="559" t="s">
        <v>49</v>
      </c>
      <c r="K13" s="559" t="s">
        <v>50</v>
      </c>
      <c r="L13" s="559" t="s">
        <v>49</v>
      </c>
      <c r="M13" s="559" t="s">
        <v>50</v>
      </c>
      <c r="N13" s="559" t="s">
        <v>49</v>
      </c>
      <c r="O13" s="559" t="s">
        <v>50</v>
      </c>
      <c r="P13" s="559" t="s">
        <v>49</v>
      </c>
      <c r="Q13" s="559" t="s">
        <v>50</v>
      </c>
      <c r="R13" s="560" t="s">
        <v>48</v>
      </c>
      <c r="S13" s="561">
        <f>закулисье!V18-(((Заявка!G31+Заявка!E26+закулисье!T19)/1000)*E34)</f>
        <v>4.7258024382499997</v>
      </c>
      <c r="T13" s="552" t="e">
        <f>MID(Заявка!$B$8,T12,4)</f>
        <v>#VALUE!</v>
      </c>
      <c r="U13" s="544" t="e">
        <f>MID(Заявка!$B$8,U12,SEARCH("_",Y12)-1)</f>
        <v>#VALUE!</v>
      </c>
      <c r="V13" s="544" t="e">
        <f>SUBSTITUTE(MID(Заявка!$B$8,V12,SEARCH("_",Z12)-1),".",",")</f>
        <v>#VALUE!</v>
      </c>
      <c r="W13" s="544" t="e">
        <f>MID(Заявка!$B$8,W12,SEARCH("x",AA12)-1)</f>
        <v>#VALUE!</v>
      </c>
      <c r="X13" s="552" t="e">
        <f>MID(Заявка!$B$8,X12,8)</f>
        <v>#VALUE!</v>
      </c>
      <c r="Y13" s="865">
        <f>Заявка!B8</f>
        <v>0</v>
      </c>
      <c r="Z13" s="865"/>
      <c r="AA13" s="865"/>
      <c r="AB13" s="865"/>
      <c r="AC13" s="865"/>
      <c r="AD13" s="865"/>
      <c r="AE13" s="865"/>
      <c r="AF13" s="865"/>
    </row>
    <row r="14" spans="1:34" ht="16">
      <c r="A14" s="104"/>
      <c r="C14" s="562" t="s">
        <v>19</v>
      </c>
      <c r="D14" s="562" t="s">
        <v>23</v>
      </c>
      <c r="E14" s="562">
        <f>((закулисье!$T$18/2)+закулисье!$N$7)*1.0150637037037</f>
        <v>54.813439999999801</v>
      </c>
      <c r="F14" s="563">
        <f>((114.61086/10)/200)*закулисье!T19</f>
        <v>11.461086</v>
      </c>
      <c r="G14" s="562">
        <f>79.765871/10</f>
        <v>7.9765871000000006</v>
      </c>
      <c r="H14" s="564">
        <f>((34.844989/200)*закулисье!T19)+I14</f>
        <v>1059.7974200000001</v>
      </c>
      <c r="I14" s="565">
        <f>((G14*(закулисье!$V$18*2))+(Заявка!$I$10*1000))-$E$14</f>
        <v>1024.9524310000002</v>
      </c>
      <c r="J14" s="566">
        <v>10</v>
      </c>
      <c r="K14" s="566">
        <v>10</v>
      </c>
      <c r="L14" s="567">
        <f>(((((H14+I14)/2)*закулисье!$T$19)/1000000)*(закулисье!$T$20/1000))*J14</f>
        <v>0.10423749255000003</v>
      </c>
      <c r="M14" s="567">
        <f>(((((H14+I14)/2)*закулисье!$T$19)/1000000)*(закулисье!$T$20/1000))*K14</f>
        <v>0.10423749255000003</v>
      </c>
      <c r="N14" s="567">
        <f>(ROUNDDOWN(($H$14/300),0))*$J$14</f>
        <v>30</v>
      </c>
      <c r="O14" s="567">
        <f>(ROUNDDOWN((H14/300),0))*K14</f>
        <v>30</v>
      </c>
      <c r="P14" s="567">
        <f>(ROUNDDOWN((I14/300),0))*J14</f>
        <v>30</v>
      </c>
      <c r="Q14" s="567">
        <f>(ROUNDDOWN((I14/300),0))*K14</f>
        <v>30</v>
      </c>
      <c r="R14" s="5"/>
      <c r="S14" s="5"/>
      <c r="T14" s="104"/>
      <c r="U14" s="552" t="str">
        <f>IF(ISNUMBER(FIND("D",Заявка!B8)),"Верно", "Неверно")</f>
        <v>Неверно</v>
      </c>
      <c r="V14" s="552"/>
      <c r="W14" s="552"/>
      <c r="X14" s="552"/>
      <c r="Y14" s="552"/>
      <c r="Z14" s="552"/>
    </row>
    <row r="15" spans="1:34" ht="16">
      <c r="A15" s="104"/>
      <c r="C15" s="568" t="s">
        <v>19</v>
      </c>
      <c r="D15" s="562" t="s">
        <v>24</v>
      </c>
      <c r="E15" s="562">
        <f>((закулисье!$T$18/2)+закулисье!$N$7)*1.01807405555555</f>
        <v>54.975998999999703</v>
      </c>
      <c r="F15" s="564">
        <f>0.19171364*T19</f>
        <v>38.342728000000001</v>
      </c>
      <c r="G15" s="568">
        <v>0</v>
      </c>
      <c r="H15" s="564">
        <f>F15+I15</f>
        <v>983.3667290000003</v>
      </c>
      <c r="I15" s="562">
        <f>(G15+(Заявка!I10*1000))-E15</f>
        <v>945.02400100000034</v>
      </c>
      <c r="J15" s="562">
        <v>5</v>
      </c>
      <c r="K15" s="562">
        <v>5</v>
      </c>
      <c r="L15" s="567">
        <f>(((((H15+I15)/2)*закулисье!$T$19)/1000000)*(закулисье!$T$20/1000))*J15</f>
        <v>4.8209768250000021E-2</v>
      </c>
      <c r="M15" s="567">
        <f>(((((H15+I15)/2)*закулисье!$T$19)/1000000)*(закулисье!$T$20/1000))*K15</f>
        <v>4.8209768250000021E-2</v>
      </c>
      <c r="N15" s="567">
        <f>(ROUNDDOWN((H15/300),0))*J15</f>
        <v>15</v>
      </c>
      <c r="O15" s="567">
        <f>(ROUNDDOWN((H15/300),0))*K15</f>
        <v>15</v>
      </c>
      <c r="P15" s="567">
        <f>(ROUNDDOWN((I15/300),0))*J15</f>
        <v>15</v>
      </c>
      <c r="Q15" s="567">
        <f>(ROUNDDOWN((I15/300),0))*K15</f>
        <v>15</v>
      </c>
      <c r="R15" s="569">
        <f>S13</f>
        <v>4.7258024382499997</v>
      </c>
      <c r="S15" s="5"/>
    </row>
    <row r="16" spans="1:34" ht="16">
      <c r="A16" s="104"/>
      <c r="C16" s="562" t="s">
        <v>19</v>
      </c>
      <c r="D16" s="570" t="s">
        <v>26</v>
      </c>
      <c r="E16" s="562">
        <f>(1.02294204*(($T$20/2)*1.02742188))</f>
        <v>26.274825846695876</v>
      </c>
      <c r="F16" s="571">
        <f>(403.548*(V18+(I17/1000)))+(((H17*2)-T20)*0.978786224060482)</f>
        <v>2021.3495066016169</v>
      </c>
      <c r="G16" s="572">
        <f>F16-(G17*2)</f>
        <v>1935.1950426016169</v>
      </c>
      <c r="H16" s="573">
        <f>F16-(E16*2)</f>
        <v>1968.7998549082251</v>
      </c>
      <c r="I16" s="562">
        <f>F16-(E17*2)</f>
        <v>1885.098734601617</v>
      </c>
      <c r="J16" s="562">
        <v>5</v>
      </c>
      <c r="K16" s="570">
        <v>5</v>
      </c>
      <c r="L16" s="567">
        <f>(((((H16+I16)/2)*закулисье!$T$19)/1000000)*(закулисье!T19/1000))*J16</f>
        <v>0.38538985895098421</v>
      </c>
      <c r="M16" s="567">
        <f>(((((H16+I16)/2)*закулисье!$T$19)/1000000)*(закулисье!T19/1000))*K16</f>
        <v>0.38538985895098421</v>
      </c>
      <c r="N16" s="567">
        <f>(ROUNDDOWN((H16/300),0))*J16</f>
        <v>30</v>
      </c>
      <c r="O16" s="567">
        <f>(ROUNDDOWN((H16/300),0))*K16</f>
        <v>30</v>
      </c>
      <c r="P16" s="567">
        <f>(ROUNDDOWN((I16/300),0))*J16</f>
        <v>30</v>
      </c>
      <c r="Q16" s="567">
        <f>(ROUNDDOWN((I16/300),0))*K16</f>
        <v>30</v>
      </c>
      <c r="R16" s="5"/>
      <c r="S16" s="5"/>
      <c r="AA16" s="868" t="str">
        <f>"http://acidome.ru/lab/calc/#"&amp;закулисье!L4&amp;"_Piped_D"&amp;закулисье!T18&amp;"_3V_R"&amp;W18&amp;"_beams_"&amp;закулисье!T19&amp;"x"&amp;закулисье!T20</f>
        <v>http://acidome.ru/lab/calc/#7/12_Piped_D108_3V_R5_beams_200x50</v>
      </c>
      <c r="AB16" s="868"/>
      <c r="AC16" s="868"/>
      <c r="AD16" s="868"/>
      <c r="AE16" s="868"/>
      <c r="AF16" s="868"/>
      <c r="AG16" s="868"/>
      <c r="AH16" s="868"/>
    </row>
    <row r="17" spans="1:27" ht="16">
      <c r="A17" s="104"/>
      <c r="C17" s="568"/>
      <c r="D17" s="570"/>
      <c r="E17" s="562">
        <f>((1.02871232*(T20/2))*1.02165880544718)+(T19*0.209252805)</f>
        <v>68.125385999999935</v>
      </c>
      <c r="G17" s="574">
        <f>0.21538616*T19</f>
        <v>43.077231999999995</v>
      </c>
      <c r="H17" s="573">
        <f>0.51435616*T20</f>
        <v>25.717807999999998</v>
      </c>
      <c r="I17" s="562">
        <f>(0.20925278701824*H17)*1.0150308750887</f>
        <v>5.4624119999999543</v>
      </c>
      <c r="J17" s="566"/>
      <c r="K17" s="570"/>
      <c r="L17" s="567"/>
      <c r="M17" s="567"/>
      <c r="N17" s="567"/>
      <c r="O17" s="567"/>
      <c r="P17" s="567"/>
      <c r="Q17" s="567"/>
      <c r="R17" s="5"/>
      <c r="S17" s="5"/>
      <c r="T17" s="104"/>
      <c r="U17" s="104"/>
      <c r="V17" s="575"/>
      <c r="W17" s="575"/>
      <c r="X17" s="575"/>
      <c r="Y17" s="575"/>
      <c r="Z17" s="575"/>
    </row>
    <row r="18" spans="1:27" ht="21">
      <c r="A18" s="104"/>
      <c r="C18" s="568" t="s">
        <v>19</v>
      </c>
      <c r="D18" s="562" t="s">
        <v>27</v>
      </c>
      <c r="E18" s="562">
        <f>(1.02116296*(($T$20/2)*0.99999552))</f>
        <v>25.528959629748485</v>
      </c>
      <c r="F18" s="576">
        <f>(412.103*(V18+(I17/1000)))-((H17-(T20/2))*0.978786224060482)</f>
        <v>2062.0634957905158</v>
      </c>
      <c r="G18" s="577">
        <f>F18-(H19+I19)</f>
        <v>1977.6048567905159</v>
      </c>
      <c r="H18" s="578">
        <f>F18-E18-F19</f>
        <v>2011.6641544961215</v>
      </c>
      <c r="I18" s="564">
        <f>H18-(E19+G19)</f>
        <v>1925.9758264961215</v>
      </c>
      <c r="J18" s="566">
        <v>10</v>
      </c>
      <c r="K18" s="568">
        <v>10</v>
      </c>
      <c r="L18" s="567">
        <f>(((((H18+I18)/2)*закулисье!$T$19)/1000000)*(закулисье!$T$20/1000))*J18</f>
        <v>0.19688199904961218</v>
      </c>
      <c r="M18" s="567">
        <f>(((((H18+I18)/2)*закулисье!$T$19)/1000000)*(закулисье!$T$20/1000))*K18</f>
        <v>0.19688199904961218</v>
      </c>
      <c r="N18" s="567">
        <f>(ROUNDDOWN((H18/300),0))*J18</f>
        <v>60</v>
      </c>
      <c r="O18" s="567">
        <f>(ROUNDDOWN((H18/300),0))*K18</f>
        <v>60</v>
      </c>
      <c r="P18" s="567">
        <f>(ROUNDDOWN((I18/300),0))*J18</f>
        <v>60</v>
      </c>
      <c r="Q18" s="567">
        <f>(ROUNDDOWN((I18/300),0))*K18</f>
        <v>60</v>
      </c>
      <c r="R18" s="5"/>
      <c r="S18" s="5"/>
      <c r="T18" s="579">
        <f>IF(U14="НЕВЕРНО",Заявка!G16,IF($Y$13=0,Заявка!G16,U13))</f>
        <v>108</v>
      </c>
      <c r="U18" s="104"/>
      <c r="V18" s="866">
        <f>IF($Y$13=0,Заявка!M10,V13)</f>
        <v>5</v>
      </c>
      <c r="W18" s="869" t="str">
        <f>SUBSTITUTE(V18,",",".")</f>
        <v>5</v>
      </c>
      <c r="X18" s="580"/>
      <c r="Y18" s="580"/>
      <c r="Z18" s="575"/>
      <c r="AA18" s="575"/>
    </row>
    <row r="19" spans="1:27" ht="21">
      <c r="A19" s="104"/>
      <c r="C19" s="581"/>
      <c r="D19" s="582"/>
      <c r="E19" s="562">
        <f>0.20681736*T19</f>
        <v>41.363472000000002</v>
      </c>
      <c r="F19" s="564">
        <f>(1.02294204*(($T$20/2)*0.97250404))</f>
        <v>24.87038166464604</v>
      </c>
      <c r="G19" s="564">
        <f>0.22162428*T19</f>
        <v>44.324856000000004</v>
      </c>
      <c r="H19" s="583">
        <f>0.21538616*T19</f>
        <v>43.077231999999995</v>
      </c>
      <c r="I19" s="584">
        <f>0.206907035*T19</f>
        <v>41.381406999999996</v>
      </c>
      <c r="J19" s="566"/>
      <c r="K19" s="568"/>
      <c r="L19" s="567"/>
      <c r="M19" s="567"/>
      <c r="N19" s="567"/>
      <c r="O19" s="567"/>
      <c r="P19" s="567"/>
      <c r="Q19" s="567"/>
      <c r="R19" s="5"/>
      <c r="S19" s="5"/>
      <c r="T19" s="579">
        <f>IF($Y$13=0,Заявка!E22,W13)</f>
        <v>200</v>
      </c>
      <c r="U19" s="585"/>
      <c r="V19" s="867"/>
      <c r="W19" s="869"/>
      <c r="X19" s="5"/>
      <c r="Y19" s="5"/>
      <c r="AA19" s="575"/>
    </row>
    <row r="20" spans="1:27" ht="21">
      <c r="A20" s="104"/>
      <c r="C20" s="562" t="s">
        <v>32</v>
      </c>
      <c r="D20" s="562" t="s">
        <v>23</v>
      </c>
      <c r="E20" s="562">
        <f>((закулисье!$T$18/2)+закулисье!$N$7)*1.02099822222222</f>
        <v>55.13390399999988</v>
      </c>
      <c r="F20" s="586">
        <f>(2017.740667/10)*(закулисье!$V$18*2)</f>
        <v>2017.740667</v>
      </c>
      <c r="G20" s="562">
        <f>F20-(((41.202124/200)*закулисье!$T$19)*2)</f>
        <v>1935.336419</v>
      </c>
      <c r="H20" s="586">
        <f>F20-(E20*2)</f>
        <v>1907.4728590000002</v>
      </c>
      <c r="I20" s="565">
        <f>G20-(E20*2)</f>
        <v>1825.0686110000001</v>
      </c>
      <c r="J20" s="566">
        <v>55</v>
      </c>
      <c r="K20" s="566">
        <v>40</v>
      </c>
      <c r="L20" s="567">
        <f>(((((H20+I20)/2)*закулисье!$T$19)/1000000)*(закулисье!$T$20/1000))*J20</f>
        <v>1.02644890425</v>
      </c>
      <c r="M20" s="567">
        <f>(((((H20+I20)/2)*закулисье!$T$19)/1000000)*(закулисье!$T$20/1000))*K20</f>
        <v>0.74650829399999996</v>
      </c>
      <c r="N20" s="567">
        <f>(ROUNDDOWN((H20/300),0))*J20</f>
        <v>330</v>
      </c>
      <c r="O20" s="567">
        <f>(ROUNDDOWN((H20/300),0))*K20</f>
        <v>240</v>
      </c>
      <c r="P20" s="567">
        <f>(ROUNDDOWN((I20/300),0))*J20</f>
        <v>330</v>
      </c>
      <c r="Q20" s="567">
        <f>(ROUNDDOWN((I20/300),0))*K20</f>
        <v>240</v>
      </c>
      <c r="R20" s="5"/>
      <c r="S20" s="5"/>
      <c r="T20" s="579">
        <f>IF($Y$13=0,Заявка!G22,X13)</f>
        <v>50</v>
      </c>
      <c r="U20" s="585"/>
      <c r="V20" s="5"/>
      <c r="W20" s="5"/>
      <c r="X20" s="5"/>
      <c r="Y20" s="5"/>
    </row>
    <row r="21" spans="1:27" ht="16">
      <c r="A21" s="104"/>
      <c r="C21" s="562" t="s">
        <v>32</v>
      </c>
      <c r="D21" s="562" t="s">
        <v>24</v>
      </c>
      <c r="E21" s="562">
        <f>((закулисье!$T$18/2)+закулисье!$N$7)*1.02196125925925</f>
        <v>55.1859079999995</v>
      </c>
      <c r="F21" s="586">
        <f>(2062.057377/10)*(закулисье!$V$18*2)</f>
        <v>2062.0573770000001</v>
      </c>
      <c r="G21" s="562">
        <f>F21-(((42.1469155000001/200)*закулисье!$T$19)*2)</f>
        <v>1977.7635459999999</v>
      </c>
      <c r="H21" s="586">
        <f>F21-(E21*2)</f>
        <v>1951.6855610000011</v>
      </c>
      <c r="I21" s="565">
        <f>G21-(E21*2)</f>
        <v>1867.391730000001</v>
      </c>
      <c r="J21" s="562">
        <v>80</v>
      </c>
      <c r="K21" s="562">
        <v>50</v>
      </c>
      <c r="L21" s="567">
        <f>(((((H21+I21)/2)*закулисье!$T$19)/1000000)*(закулисье!$T$20/1000))*J21</f>
        <v>1.527630916400001</v>
      </c>
      <c r="M21" s="567">
        <f>(((((H21+I21)/2)*закулисье!$T$19)/1000000)*(закулисье!$T$20/1000))*K21</f>
        <v>0.95476932275000059</v>
      </c>
      <c r="N21" s="567">
        <f>(ROUNDDOWN((H21/300),0))*J21</f>
        <v>480</v>
      </c>
      <c r="O21" s="567">
        <f>(ROUNDDOWN((H21/300),0))*K21</f>
        <v>300</v>
      </c>
      <c r="P21" s="567">
        <f>(ROUNDDOWN((I21/300),0))*J21</f>
        <v>480</v>
      </c>
      <c r="Q21" s="567">
        <f>(ROUNDDOWN((I21/300),0))*K21</f>
        <v>300</v>
      </c>
      <c r="R21" s="5"/>
      <c r="S21" s="5"/>
      <c r="T21" s="5"/>
      <c r="U21" s="5"/>
    </row>
    <row r="22" spans="1:27" ht="16">
      <c r="A22" s="104"/>
      <c r="C22" s="562" t="s">
        <v>32</v>
      </c>
      <c r="D22" s="570" t="s">
        <v>33</v>
      </c>
      <c r="E22" s="562">
        <f>((закулисье!$T$18/2)+закулисье!$N$7)*1.01554692592592</f>
        <v>54.839533999999681</v>
      </c>
      <c r="F22" s="586">
        <f>(1743.077337/10)*(закулисье!$V$18*2)</f>
        <v>1743.0773369999999</v>
      </c>
      <c r="G22" s="562">
        <f>F22-(((35.403495/200)*закулисье!$T$19)*2)</f>
        <v>1672.2703469999999</v>
      </c>
      <c r="H22" s="586">
        <f>F22-(E22*2)</f>
        <v>1633.3982690000005</v>
      </c>
      <c r="I22" s="565">
        <f>G22-(E22*2)</f>
        <v>1562.5912790000004</v>
      </c>
      <c r="J22" s="562">
        <v>30</v>
      </c>
      <c r="K22" s="570">
        <v>30</v>
      </c>
      <c r="L22" s="567">
        <f>(((((H22+I22)/2)*закулисье!$T$19)/1000000)*(закулисье!$T$20/1000))*J22</f>
        <v>0.47939843220000011</v>
      </c>
      <c r="M22" s="567">
        <f>(((((H22+I22)/2)*закулисье!$T$19)/1000000)*(закулисье!$T$20/1000))*K22</f>
        <v>0.47939843220000011</v>
      </c>
      <c r="N22" s="567">
        <f>(ROUNDDOWN((H22/300),0))*J22</f>
        <v>150</v>
      </c>
      <c r="O22" s="567">
        <f>(ROUNDDOWN((H22/300),0))*K22</f>
        <v>150</v>
      </c>
      <c r="P22" s="567">
        <f>(ROUNDDOWN((I22/300),0))*J22</f>
        <v>150</v>
      </c>
      <c r="Q22" s="567">
        <f>(ROUNDDOWN((I22/300),0))*K22</f>
        <v>150</v>
      </c>
      <c r="R22" s="5"/>
      <c r="S22" s="5"/>
      <c r="T22" s="5"/>
      <c r="U22" s="5"/>
    </row>
    <row r="23" spans="1:27" ht="16">
      <c r="A23" s="104"/>
      <c r="G23" s="587"/>
      <c r="H23" s="587"/>
      <c r="I23" s="588"/>
      <c r="J23" s="566">
        <f t="shared" ref="J23:Q23" si="0">SUM(J14:J22)</f>
        <v>195</v>
      </c>
      <c r="K23" s="570">
        <f t="shared" si="0"/>
        <v>150</v>
      </c>
      <c r="L23" s="560">
        <f t="shared" si="0"/>
        <v>3.7681973716505972</v>
      </c>
      <c r="M23" s="589">
        <f t="shared" si="0"/>
        <v>2.9153951677505971</v>
      </c>
      <c r="N23" s="567">
        <f t="shared" si="0"/>
        <v>1095</v>
      </c>
      <c r="O23" s="567">
        <f t="shared" si="0"/>
        <v>825</v>
      </c>
      <c r="P23" s="567">
        <f t="shared" si="0"/>
        <v>1095</v>
      </c>
      <c r="Q23" s="567">
        <f t="shared" si="0"/>
        <v>825</v>
      </c>
      <c r="R23" s="5"/>
      <c r="S23" s="5"/>
      <c r="T23" s="5"/>
      <c r="U23" s="5"/>
    </row>
    <row r="24" spans="1:27" ht="14.5" customHeight="1">
      <c r="A24" s="104"/>
      <c r="G24" s="590"/>
      <c r="H24" s="590"/>
      <c r="I24" s="591"/>
      <c r="J24" s="863" t="s">
        <v>836</v>
      </c>
      <c r="K24" s="863"/>
      <c r="L24" s="560"/>
      <c r="M24" s="589"/>
      <c r="N24" s="592">
        <f>0.25*N23</f>
        <v>273.75</v>
      </c>
      <c r="O24" s="592">
        <f>0.25*O23</f>
        <v>206.25</v>
      </c>
      <c r="P24" s="592">
        <f>0.25*P23</f>
        <v>273.75</v>
      </c>
      <c r="Q24" s="592">
        <f>0.25*Q23</f>
        <v>206.25</v>
      </c>
      <c r="R24" s="5"/>
      <c r="S24" s="5"/>
      <c r="T24" s="5"/>
      <c r="U24" s="5"/>
    </row>
    <row r="25" spans="1:27" ht="16">
      <c r="A25" s="104"/>
      <c r="C25" s="858" t="s">
        <v>47</v>
      </c>
      <c r="D25" s="859"/>
      <c r="E25" s="562" t="s">
        <v>36</v>
      </c>
      <c r="F25" s="586" t="s">
        <v>37</v>
      </c>
      <c r="G25" s="593" t="s">
        <v>38</v>
      </c>
      <c r="H25" s="586" t="s">
        <v>39</v>
      </c>
      <c r="I25" s="594"/>
      <c r="J25" s="864"/>
      <c r="K25" s="864"/>
      <c r="L25" s="560"/>
      <c r="M25" s="589"/>
      <c r="N25" s="592">
        <f>(((0.25*($T$20/1000))*(Заявка!$E$40/1000))*N23)</f>
        <v>0.68437500000000018</v>
      </c>
      <c r="O25" s="592">
        <f>(((0.25*($T$20/1000))*(Заявка!$E$40/1000))*O23)</f>
        <v>0.51562500000000011</v>
      </c>
      <c r="P25" s="592">
        <f>(((0.25*($T$20/1000))*(Заявка!$E$26/1000))*P23)</f>
        <v>0.68437500000000018</v>
      </c>
      <c r="Q25" s="592">
        <f>(((0.25*($T$20/1000))*(Заявка!$E$26/1000))*Q23)</f>
        <v>0.51562500000000011</v>
      </c>
      <c r="R25" s="5"/>
      <c r="S25" s="5"/>
      <c r="T25" s="5"/>
      <c r="U25" s="5"/>
    </row>
    <row r="26" spans="1:27" ht="16">
      <c r="A26" s="104"/>
      <c r="C26" s="562" t="s">
        <v>34</v>
      </c>
      <c r="D26" s="562" t="s">
        <v>23</v>
      </c>
      <c r="E26" s="562">
        <v>1.015546525</v>
      </c>
      <c r="F26" s="586">
        <f>201.7741329*((закулисье!$V$18+((Заявка!$E$40*$E$26)/1000))*2)</f>
        <v>2038.2324309501487</v>
      </c>
      <c r="G26" s="595">
        <f>(((7.9766063*((Заявка!M10+((Заявка!E40*$E$26)/1000))*2))+(Заявка!I10*1000)))-((Заявка!I10*1000)-H28)</f>
        <v>1071.0269386852244</v>
      </c>
      <c r="H26" s="596">
        <f>F26</f>
        <v>2038.2324309501487</v>
      </c>
      <c r="I26" s="597">
        <f>G26-(E26*2)</f>
        <v>1068.9958456352244</v>
      </c>
      <c r="J26" s="566">
        <f>((F26*G26)/1000000)*5</f>
        <v>10.915009204247404</v>
      </c>
      <c r="K26" s="566"/>
      <c r="L26" s="560"/>
      <c r="M26" s="598"/>
      <c r="N26" s="599"/>
      <c r="O26" s="557"/>
      <c r="P26" s="557"/>
      <c r="Q26" s="557"/>
      <c r="R26" s="5"/>
      <c r="S26" s="5"/>
      <c r="T26" s="5"/>
      <c r="U26" s="5"/>
    </row>
    <row r="27" spans="1:27" ht="16">
      <c r="A27" s="104"/>
      <c r="C27" s="562"/>
      <c r="D27" s="562"/>
      <c r="E27" s="562" t="s">
        <v>36</v>
      </c>
      <c r="F27" s="586" t="s">
        <v>40</v>
      </c>
      <c r="G27" s="600" t="s">
        <v>38</v>
      </c>
      <c r="H27" s="586" t="s">
        <v>41</v>
      </c>
      <c r="I27" s="586" t="s">
        <v>42</v>
      </c>
      <c r="J27" s="566"/>
      <c r="K27" s="566"/>
      <c r="L27" s="560"/>
      <c r="M27" s="598"/>
      <c r="N27" s="599"/>
      <c r="O27" s="104"/>
      <c r="P27" s="557"/>
      <c r="Q27" s="557"/>
      <c r="R27" s="5"/>
      <c r="S27" s="5"/>
      <c r="T27" s="5"/>
      <c r="U27" s="5"/>
    </row>
    <row r="28" spans="1:27" ht="16">
      <c r="A28" s="104"/>
      <c r="C28" s="562" t="s">
        <v>34</v>
      </c>
      <c r="D28" s="562" t="s">
        <v>24</v>
      </c>
      <c r="E28" s="562">
        <v>1.015546525</v>
      </c>
      <c r="F28" s="586">
        <f>(2062.057377/10)*((закулисье!$V$18+((Заявка!$E$40*$E$28)/1000))*2)</f>
        <v>2082.9985290356299</v>
      </c>
      <c r="G28" s="595">
        <f>G26</f>
        <v>1071.0269386852244</v>
      </c>
      <c r="H28" s="601">
        <f>(Заявка!I10*1000)-(1000-(((5236.048504-Заявка!E40)/5236.048504)*1000))</f>
        <v>990.45081420429869</v>
      </c>
      <c r="I28" s="597">
        <f>206.0513635*((Заявка!M10+((Заявка!E40/1000)*$E$28))*2)</f>
        <v>2081.439109617394</v>
      </c>
      <c r="J28" s="562">
        <f>((((H28+G28)/2)*I28)/1000000)*10</f>
        <v>21.454202092352173</v>
      </c>
      <c r="K28" s="562"/>
      <c r="L28" s="567"/>
      <c r="M28" s="602"/>
      <c r="N28" s="599"/>
      <c r="O28" s="104"/>
      <c r="P28" s="557"/>
      <c r="Q28" s="557"/>
      <c r="R28" s="5"/>
      <c r="S28" s="5"/>
      <c r="T28" s="5"/>
      <c r="U28" s="5"/>
    </row>
    <row r="29" spans="1:27" ht="16">
      <c r="A29" s="104"/>
      <c r="C29" s="562"/>
      <c r="D29" s="562"/>
      <c r="E29" s="562" t="s">
        <v>36</v>
      </c>
      <c r="F29" s="586" t="s">
        <v>43</v>
      </c>
      <c r="G29" s="562" t="s">
        <v>44</v>
      </c>
      <c r="H29" s="586"/>
      <c r="I29" s="586"/>
      <c r="J29" s="566">
        <f>SUM(J26:J28)</f>
        <v>32.369211296599573</v>
      </c>
      <c r="K29" s="566"/>
      <c r="L29" s="560"/>
      <c r="M29" s="598"/>
      <c r="N29" s="599"/>
      <c r="O29" s="104"/>
      <c r="P29" s="557"/>
      <c r="Q29" s="557"/>
      <c r="R29" s="5"/>
      <c r="S29" s="5"/>
      <c r="T29" s="5"/>
      <c r="U29" s="5"/>
    </row>
    <row r="30" spans="1:27" ht="16">
      <c r="A30" s="104"/>
      <c r="C30" s="562" t="s">
        <v>35</v>
      </c>
      <c r="D30" s="570" t="s">
        <v>23</v>
      </c>
      <c r="E30" s="562">
        <v>1.015546525</v>
      </c>
      <c r="F30" s="586">
        <f>F26</f>
        <v>2038.2324309501487</v>
      </c>
      <c r="G30" s="562">
        <f>174.3077484*((закулисье!$V$18+((Заявка!$E$40*$E$26)/1000))*2)</f>
        <v>1760.7792468168198</v>
      </c>
      <c r="H30" s="586"/>
      <c r="I30" s="565"/>
      <c r="J30" s="562">
        <f>((((142.1442191*(закулисье!$V$18*2))*F30)/1000000)/2)*30</f>
        <v>43.458443586255534</v>
      </c>
      <c r="K30" s="570"/>
      <c r="L30" s="567"/>
      <c r="M30" s="603"/>
      <c r="N30" s="599"/>
      <c r="O30" s="104"/>
      <c r="P30" s="557"/>
      <c r="Q30" s="557"/>
      <c r="R30" s="5"/>
      <c r="S30" s="5"/>
      <c r="T30" s="5"/>
      <c r="U30" s="5"/>
    </row>
    <row r="31" spans="1:27" ht="16">
      <c r="A31" s="104"/>
      <c r="C31" s="562"/>
      <c r="D31" s="562"/>
      <c r="E31" s="562" t="s">
        <v>36</v>
      </c>
      <c r="F31" s="586" t="s">
        <v>43</v>
      </c>
      <c r="G31" s="586" t="s">
        <v>40</v>
      </c>
      <c r="H31" s="586"/>
      <c r="I31" s="586"/>
      <c r="J31" s="562"/>
      <c r="K31" s="566"/>
      <c r="L31" s="560"/>
      <c r="M31" s="598"/>
      <c r="N31" s="599"/>
      <c r="O31" s="104"/>
      <c r="P31" s="557"/>
      <c r="Q31" s="557"/>
      <c r="R31" s="5"/>
      <c r="S31" s="5"/>
      <c r="T31" s="5"/>
      <c r="U31" s="5"/>
    </row>
    <row r="32" spans="1:27" ht="16">
      <c r="A32" s="104"/>
      <c r="C32" s="562" t="s">
        <v>45</v>
      </c>
      <c r="D32" s="562" t="s">
        <v>24</v>
      </c>
      <c r="E32" s="562">
        <v>1.015546525</v>
      </c>
      <c r="F32" s="586">
        <f>F26</f>
        <v>2038.2324309501487</v>
      </c>
      <c r="G32" s="586">
        <f>F28</f>
        <v>2082.9985290356299</v>
      </c>
      <c r="H32" s="586"/>
      <c r="I32" s="565"/>
      <c r="J32" s="562">
        <f>IF(K5=1,((((179.8405337*(закулисье!$V$18*2))*F32)/1000000)/2)*75,((((179.8405337*(закулисье!$V$18*2))*F32)/1000000)/2)*45)</f>
        <v>137.45880307002119</v>
      </c>
      <c r="K32" s="562">
        <f>IF(K5=1,75,45)</f>
        <v>75</v>
      </c>
      <c r="L32" s="567" t="s">
        <v>847</v>
      </c>
      <c r="M32" s="602"/>
      <c r="N32" s="599"/>
      <c r="O32" s="104"/>
      <c r="P32" s="557"/>
      <c r="Q32" s="557"/>
      <c r="R32" s="5"/>
      <c r="S32" s="5"/>
      <c r="T32" s="5"/>
      <c r="U32" s="5"/>
    </row>
    <row r="33" spans="1:21" ht="16">
      <c r="A33" s="104"/>
      <c r="C33" s="858" t="s">
        <v>46</v>
      </c>
      <c r="D33" s="859"/>
      <c r="E33" s="562" t="s">
        <v>36</v>
      </c>
      <c r="F33" s="586" t="s">
        <v>37</v>
      </c>
      <c r="G33" s="562" t="s">
        <v>38</v>
      </c>
      <c r="H33" s="586" t="s">
        <v>39</v>
      </c>
      <c r="I33" s="565"/>
      <c r="J33" s="566">
        <f>SUM(J30:J32)</f>
        <v>180.91724665627672</v>
      </c>
      <c r="K33" s="570"/>
      <c r="L33" s="560"/>
      <c r="M33" s="603"/>
      <c r="N33" s="599"/>
      <c r="O33" s="104"/>
      <c r="P33" s="557"/>
      <c r="Q33" s="557"/>
      <c r="R33" s="5"/>
      <c r="S33" s="5"/>
      <c r="T33" s="5"/>
      <c r="U33" s="5"/>
    </row>
    <row r="34" spans="1:21" ht="16">
      <c r="A34" s="104"/>
      <c r="C34" s="562" t="s">
        <v>34</v>
      </c>
      <c r="D34" s="562" t="s">
        <v>23</v>
      </c>
      <c r="E34" s="562">
        <v>1.015546525</v>
      </c>
      <c r="F34" s="586">
        <f>201.7741329*($S$13*2)</f>
        <v>1907.0893784691991</v>
      </c>
      <c r="G34" s="586">
        <f>IF(K5=1,(((7.9766063*($S$13*2))+(Заявка!$I$10*1000)))-((Заявка!$I$10*1000)-H36),H28-(((T19+Заявка!E26+Заявка!G31)*E34)/5.82616088585457))</f>
        <v>1126.9573342997878</v>
      </c>
      <c r="H34" s="586">
        <f>F34</f>
        <v>1907.0893784691991</v>
      </c>
      <c r="I34" s="565">
        <f>G34-(E34*2)</f>
        <v>1124.9262412497878</v>
      </c>
      <c r="J34" s="566">
        <f>((F34*G34)/1000000)*5</f>
        <v>10.74604181115544</v>
      </c>
      <c r="K34" s="566"/>
      <c r="L34" s="560"/>
      <c r="M34" s="598"/>
      <c r="N34" s="599"/>
      <c r="O34" s="104"/>
      <c r="P34" s="557"/>
      <c r="Q34" s="557"/>
      <c r="R34" s="5"/>
      <c r="S34" s="5"/>
      <c r="T34" s="5"/>
      <c r="U34" s="5"/>
    </row>
    <row r="35" spans="1:21" ht="16">
      <c r="A35" s="104"/>
      <c r="C35" s="562"/>
      <c r="D35" s="562"/>
      <c r="E35" s="562" t="s">
        <v>36</v>
      </c>
      <c r="F35" s="586" t="s">
        <v>40</v>
      </c>
      <c r="G35" s="562" t="s">
        <v>38</v>
      </c>
      <c r="H35" s="586" t="s">
        <v>41</v>
      </c>
      <c r="I35" s="586" t="s">
        <v>42</v>
      </c>
      <c r="J35" s="566"/>
      <c r="K35" s="566"/>
      <c r="L35" s="560"/>
      <c r="M35" s="598"/>
      <c r="N35" s="599"/>
      <c r="O35" s="104"/>
      <c r="P35" s="557"/>
      <c r="Q35" s="557"/>
      <c r="R35" s="5"/>
      <c r="S35" s="5"/>
      <c r="T35" s="5"/>
      <c r="U35" s="5"/>
    </row>
    <row r="36" spans="1:21" ht="16">
      <c r="A36" s="104"/>
      <c r="C36" s="562" t="s">
        <v>34</v>
      </c>
      <c r="D36" s="562" t="s">
        <v>24</v>
      </c>
      <c r="E36" s="562">
        <v>1.015546525</v>
      </c>
      <c r="F36" s="586">
        <f>(2062.057377/10)*($S$13*2)</f>
        <v>1948.9751560075999</v>
      </c>
      <c r="G36" s="586">
        <f>G34</f>
        <v>1126.9573342997878</v>
      </c>
      <c r="H36" s="564">
        <f>IF(K5=1,(Заявка!$I$10*1000)-(1000-(((5236.048504+Заявка!E26+Заявка!G31+T19)/5236.048504)*1000)),G26-(((T19+Заявка!E26+Заявка!G31)*E34)/5.33069465713068))</f>
        <v>1051.5656032967872</v>
      </c>
      <c r="I36" s="565">
        <f>206.0513635*($S$13*2)</f>
        <v>1947.516072066074</v>
      </c>
      <c r="J36" s="562">
        <f>((((H36+G36)/2)*I36)/1000000)*10</f>
        <v>21.213542171669637</v>
      </c>
      <c r="K36" s="562"/>
      <c r="L36" s="567"/>
      <c r="M36" s="602"/>
      <c r="N36" s="599"/>
      <c r="O36" s="104"/>
      <c r="P36" s="557"/>
      <c r="Q36" s="557"/>
      <c r="R36" s="5"/>
      <c r="S36" s="5"/>
      <c r="T36" s="5"/>
      <c r="U36" s="5"/>
    </row>
    <row r="37" spans="1:21" ht="16">
      <c r="A37" s="104"/>
      <c r="C37" s="562"/>
      <c r="D37" s="562"/>
      <c r="E37" s="562" t="s">
        <v>36</v>
      </c>
      <c r="F37" s="586" t="s">
        <v>43</v>
      </c>
      <c r="G37" s="562" t="s">
        <v>44</v>
      </c>
      <c r="H37" s="586"/>
      <c r="I37" s="586"/>
      <c r="J37" s="566">
        <f>SUM(J34:J36)</f>
        <v>31.959583982825077</v>
      </c>
      <c r="K37" s="566"/>
      <c r="L37" s="560"/>
      <c r="M37" s="598"/>
      <c r="N37" s="599"/>
      <c r="O37" s="104"/>
      <c r="P37" s="557"/>
      <c r="Q37" s="557"/>
      <c r="R37" s="5"/>
      <c r="S37" s="5"/>
      <c r="T37" s="5"/>
      <c r="U37" s="5"/>
    </row>
    <row r="38" spans="1:21" ht="16">
      <c r="A38" s="104"/>
      <c r="C38" s="562" t="s">
        <v>35</v>
      </c>
      <c r="D38" s="570" t="s">
        <v>23</v>
      </c>
      <c r="E38" s="562">
        <v>1.015546525</v>
      </c>
      <c r="F38" s="586">
        <f>F34</f>
        <v>1907.0893784691991</v>
      </c>
      <c r="G38" s="562">
        <f>174.3077484*($S$13*2)</f>
        <v>1647.4879647891751</v>
      </c>
      <c r="H38" s="586"/>
      <c r="I38" s="565"/>
      <c r="J38" s="562">
        <f>((((142.1442191*(S13*2))*F38)/1000000)/2)*30</f>
        <v>38.432361082677751</v>
      </c>
      <c r="K38" s="570"/>
      <c r="L38" s="567"/>
      <c r="M38" s="603"/>
      <c r="N38" s="599"/>
      <c r="O38" s="104"/>
      <c r="P38" s="557"/>
      <c r="Q38" s="557"/>
      <c r="R38" s="5"/>
      <c r="S38" s="5"/>
      <c r="T38" s="5"/>
      <c r="U38" s="5"/>
    </row>
    <row r="39" spans="1:21" ht="16">
      <c r="A39" s="104"/>
      <c r="C39" s="562"/>
      <c r="D39" s="562"/>
      <c r="E39" s="562" t="s">
        <v>36</v>
      </c>
      <c r="F39" s="586" t="s">
        <v>43</v>
      </c>
      <c r="G39" s="586" t="s">
        <v>40</v>
      </c>
      <c r="H39" s="586"/>
      <c r="I39" s="586"/>
      <c r="J39" s="562"/>
      <c r="K39" s="566"/>
      <c r="L39" s="560"/>
      <c r="M39" s="598"/>
      <c r="N39" s="599"/>
      <c r="O39" s="104"/>
      <c r="P39" s="557"/>
      <c r="Q39" s="557"/>
      <c r="R39" s="5"/>
      <c r="S39" s="5"/>
      <c r="T39" s="5"/>
      <c r="U39" s="5"/>
    </row>
    <row r="40" spans="1:21" ht="16">
      <c r="A40" s="104"/>
      <c r="C40" s="568" t="s">
        <v>45</v>
      </c>
      <c r="D40" s="568" t="s">
        <v>24</v>
      </c>
      <c r="E40" s="568">
        <v>1.015546525</v>
      </c>
      <c r="F40" s="604">
        <f>F34</f>
        <v>1907.0893784691991</v>
      </c>
      <c r="G40" s="604">
        <f>F36</f>
        <v>1948.9751560075999</v>
      </c>
      <c r="H40" s="604"/>
      <c r="I40" s="605"/>
      <c r="J40" s="562">
        <f>IF(K5=1,((((179.8405337*(S13*2))*F40)/1000000)/2)*75,((((179.8405337*(S13*2))*F40)/1000000)/2)*45)</f>
        <v>121.56133348619377</v>
      </c>
      <c r="K40" s="568"/>
      <c r="L40" s="606"/>
      <c r="M40" s="607"/>
      <c r="N40" s="599"/>
      <c r="O40" s="104"/>
      <c r="P40" s="557"/>
      <c r="Q40" s="557"/>
      <c r="R40" s="5"/>
      <c r="S40" s="5"/>
      <c r="T40" s="5"/>
      <c r="U40" s="5"/>
    </row>
    <row r="41" spans="1:21" ht="16">
      <c r="A41" s="104"/>
      <c r="C41" s="570"/>
      <c r="D41" s="570"/>
      <c r="E41" s="570"/>
      <c r="F41" s="608"/>
      <c r="G41" s="608"/>
      <c r="H41" s="608"/>
      <c r="I41" s="608"/>
      <c r="J41" s="570">
        <f>SUM(J38:J40)</f>
        <v>159.99369456887152</v>
      </c>
      <c r="K41" s="570"/>
      <c r="L41" s="609"/>
      <c r="M41" s="603"/>
      <c r="N41" s="557"/>
      <c r="O41" s="104"/>
      <c r="P41" s="557"/>
      <c r="Q41" s="557"/>
      <c r="R41" s="5"/>
      <c r="S41" s="5"/>
      <c r="T41" s="5"/>
      <c r="U41" s="5"/>
    </row>
    <row r="42" spans="1:21" ht="16">
      <c r="A42" s="104"/>
      <c r="C42" s="854" t="s">
        <v>52</v>
      </c>
      <c r="D42" s="860"/>
      <c r="E42" s="860"/>
      <c r="F42" s="860"/>
      <c r="G42" s="860"/>
      <c r="H42" s="860"/>
      <c r="I42" s="860"/>
      <c r="J42" s="860"/>
      <c r="K42" s="860"/>
      <c r="L42" s="860"/>
      <c r="M42" s="860"/>
      <c r="N42" s="855"/>
      <c r="O42" s="104"/>
      <c r="P42" s="557"/>
      <c r="Q42" s="557"/>
      <c r="R42" s="5"/>
      <c r="S42" s="5"/>
      <c r="T42" s="5"/>
      <c r="U42" s="5"/>
    </row>
    <row r="43" spans="1:21" ht="16">
      <c r="A43" s="104"/>
      <c r="C43" s="854"/>
      <c r="D43" s="855"/>
      <c r="E43" s="568" t="s">
        <v>603</v>
      </c>
      <c r="F43" s="568"/>
      <c r="G43" s="568" t="s">
        <v>604</v>
      </c>
      <c r="H43" s="568"/>
      <c r="I43" s="568"/>
      <c r="J43" s="568"/>
      <c r="K43" s="568"/>
      <c r="L43" s="568"/>
      <c r="M43" s="568"/>
      <c r="N43" s="568"/>
      <c r="O43" s="104"/>
      <c r="P43" s="557"/>
      <c r="Q43" s="557"/>
      <c r="R43" s="5"/>
      <c r="S43" s="5"/>
      <c r="T43" s="5"/>
      <c r="U43" s="5"/>
    </row>
    <row r="44" spans="1:21" ht="16">
      <c r="A44" s="104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104"/>
      <c r="P44" s="557"/>
      <c r="Q44" s="557"/>
      <c r="R44" s="5"/>
      <c r="S44" s="5"/>
      <c r="T44" s="5"/>
      <c r="U44" s="5"/>
    </row>
    <row r="45" spans="1:21" ht="16">
      <c r="A45" s="104"/>
      <c r="C45" s="854" t="s">
        <v>605</v>
      </c>
      <c r="D45" s="855"/>
      <c r="E45" s="568">
        <f>(SUM(J20:J22)*2)+15</f>
        <v>345</v>
      </c>
      <c r="F45" s="568"/>
      <c r="G45" s="568">
        <f>(SUM(K20:K22)*2)+15</f>
        <v>255</v>
      </c>
      <c r="H45" s="568"/>
      <c r="I45" s="568"/>
      <c r="J45" s="568"/>
      <c r="K45" s="568"/>
      <c r="L45" s="568"/>
      <c r="M45" s="568"/>
      <c r="N45" s="568"/>
      <c r="O45" s="104"/>
      <c r="P45" s="557"/>
      <c r="Q45" s="557"/>
      <c r="R45" s="5"/>
      <c r="S45" s="5"/>
      <c r="T45" s="5"/>
      <c r="U45" s="5"/>
    </row>
    <row r="46" spans="1:21" ht="16">
      <c r="A46" s="104"/>
      <c r="C46" s="854" t="s">
        <v>606</v>
      </c>
      <c r="D46" s="855"/>
      <c r="E46" s="568">
        <f>E45*2</f>
        <v>690</v>
      </c>
      <c r="F46" s="568">
        <f>65*E46</f>
        <v>44850</v>
      </c>
      <c r="G46" s="568">
        <f>G45*2</f>
        <v>510</v>
      </c>
      <c r="H46" s="568">
        <f>65*G46</f>
        <v>33150</v>
      </c>
      <c r="I46" s="568"/>
      <c r="J46" s="568"/>
      <c r="K46" s="568"/>
      <c r="L46" s="568"/>
      <c r="M46" s="568"/>
      <c r="N46" s="568"/>
      <c r="O46" s="104"/>
      <c r="P46" s="557"/>
      <c r="Q46" s="557"/>
      <c r="R46" s="5"/>
      <c r="S46" s="5"/>
      <c r="T46" s="5"/>
      <c r="U46" s="5"/>
    </row>
    <row r="47" spans="1:21" ht="16">
      <c r="A47" s="104"/>
      <c r="C47" s="854" t="s">
        <v>607</v>
      </c>
      <c r="D47" s="855"/>
      <c r="E47" s="568">
        <f>E45</f>
        <v>345</v>
      </c>
      <c r="F47" s="568">
        <f>20*E47</f>
        <v>6900</v>
      </c>
      <c r="G47" s="568">
        <f>G45</f>
        <v>255</v>
      </c>
      <c r="H47" s="568">
        <f>20*G47</f>
        <v>5100</v>
      </c>
      <c r="I47" s="568"/>
      <c r="J47" s="568"/>
      <c r="K47" s="568"/>
      <c r="L47" s="568"/>
      <c r="M47" s="568"/>
      <c r="N47" s="568"/>
      <c r="O47" s="104"/>
      <c r="P47" s="557"/>
      <c r="Q47" s="557"/>
      <c r="R47" s="5"/>
      <c r="S47" s="5"/>
      <c r="T47" s="5"/>
      <c r="U47" s="5"/>
    </row>
    <row r="48" spans="1:21" ht="17" customHeight="1">
      <c r="A48" s="104"/>
      <c r="C48" s="854" t="s">
        <v>611</v>
      </c>
      <c r="D48" s="855"/>
      <c r="E48" s="568">
        <v>61</v>
      </c>
      <c r="F48" s="568">
        <f>220*E48</f>
        <v>13420</v>
      </c>
      <c r="G48" s="568">
        <v>46</v>
      </c>
      <c r="H48" s="568">
        <f>220*G48</f>
        <v>10120</v>
      </c>
      <c r="I48" s="568"/>
      <c r="J48" s="568"/>
      <c r="K48" s="568"/>
      <c r="L48" s="568"/>
      <c r="M48" s="568"/>
      <c r="N48" s="568"/>
      <c r="O48" s="104"/>
      <c r="P48" s="557"/>
      <c r="Q48" s="557"/>
      <c r="R48" s="5"/>
      <c r="S48" s="5"/>
      <c r="T48" s="5"/>
      <c r="U48" s="5"/>
    </row>
    <row r="49" spans="1:21" ht="16">
      <c r="A49" s="104"/>
      <c r="C49" s="854" t="s">
        <v>608</v>
      </c>
      <c r="D49" s="855"/>
      <c r="E49" s="568">
        <f>E45</f>
        <v>345</v>
      </c>
      <c r="F49" s="568">
        <f>130*E49</f>
        <v>44850</v>
      </c>
      <c r="G49" s="568">
        <f>G45</f>
        <v>255</v>
      </c>
      <c r="H49" s="568">
        <f>130*G49</f>
        <v>33150</v>
      </c>
      <c r="I49" s="568"/>
      <c r="J49" s="568"/>
      <c r="K49" s="568"/>
      <c r="L49" s="568"/>
      <c r="M49" s="568"/>
      <c r="N49" s="568"/>
      <c r="O49" s="104"/>
      <c r="P49" s="557"/>
      <c r="Q49" s="557"/>
      <c r="R49" s="610"/>
      <c r="S49" s="5"/>
      <c r="T49" s="5"/>
      <c r="U49" s="5"/>
    </row>
    <row r="50" spans="1:21" ht="16">
      <c r="A50" s="104"/>
      <c r="C50" s="854" t="s">
        <v>609</v>
      </c>
      <c r="D50" s="855"/>
      <c r="E50" s="568">
        <f>E45</f>
        <v>345</v>
      </c>
      <c r="F50" s="568">
        <f>50*E50</f>
        <v>17250</v>
      </c>
      <c r="G50" s="568">
        <f>G45</f>
        <v>255</v>
      </c>
      <c r="H50" s="568">
        <f>50*G50</f>
        <v>12750</v>
      </c>
      <c r="I50" s="568"/>
      <c r="J50" s="568"/>
      <c r="K50" s="568"/>
      <c r="L50" s="568"/>
      <c r="M50" s="568"/>
      <c r="N50" s="568"/>
      <c r="O50" s="104"/>
      <c r="P50" s="557"/>
      <c r="Q50" s="557"/>
      <c r="T50" s="5"/>
      <c r="U50" s="5"/>
    </row>
    <row r="51" spans="1:21" ht="14.5" customHeight="1">
      <c r="A51" s="104"/>
      <c r="C51" s="854" t="s">
        <v>612</v>
      </c>
      <c r="D51" s="855"/>
      <c r="E51" s="568">
        <v>61</v>
      </c>
      <c r="F51" s="568">
        <f>335*E51</f>
        <v>20435</v>
      </c>
      <c r="G51" s="568">
        <v>46</v>
      </c>
      <c r="H51" s="568">
        <f>335*G51</f>
        <v>15410</v>
      </c>
      <c r="I51" s="568"/>
      <c r="J51" s="568"/>
      <c r="K51" s="568"/>
      <c r="L51" s="568"/>
      <c r="M51" s="568"/>
      <c r="N51" s="568"/>
      <c r="O51" s="104"/>
      <c r="T51" s="5"/>
      <c r="U51" s="5"/>
    </row>
    <row r="52" spans="1:21" ht="14.5" customHeight="1">
      <c r="A52" s="104"/>
      <c r="C52" s="854" t="s">
        <v>615</v>
      </c>
      <c r="D52" s="855"/>
      <c r="E52" s="568">
        <v>8</v>
      </c>
      <c r="F52" s="568">
        <f>30*E52</f>
        <v>240</v>
      </c>
      <c r="G52" s="568">
        <v>8</v>
      </c>
      <c r="H52" s="568">
        <f>30*G52</f>
        <v>240</v>
      </c>
      <c r="I52" s="568"/>
      <c r="J52" s="568"/>
      <c r="K52" s="568"/>
      <c r="L52" s="568"/>
      <c r="M52" s="568"/>
      <c r="N52" s="568"/>
      <c r="O52" s="104"/>
      <c r="T52" s="5"/>
      <c r="U52" s="5"/>
    </row>
    <row r="53" spans="1:21" ht="14.5" customHeight="1">
      <c r="A53" s="104"/>
      <c r="C53" s="854" t="s">
        <v>616</v>
      </c>
      <c r="D53" s="855"/>
      <c r="E53" s="568">
        <v>11</v>
      </c>
      <c r="F53" s="568">
        <f>30*E53</f>
        <v>330</v>
      </c>
      <c r="G53" s="568">
        <v>11</v>
      </c>
      <c r="H53" s="568">
        <f>30*G53</f>
        <v>330</v>
      </c>
      <c r="I53" s="568"/>
      <c r="J53" s="568"/>
      <c r="K53" s="568"/>
      <c r="L53" s="568"/>
      <c r="M53" s="568"/>
      <c r="N53" s="568"/>
      <c r="O53" s="104"/>
      <c r="T53" s="5"/>
      <c r="U53" s="5"/>
    </row>
    <row r="54" spans="1:21" ht="14.5" customHeight="1">
      <c r="A54" s="104"/>
      <c r="C54" s="854" t="s">
        <v>617</v>
      </c>
      <c r="D54" s="855"/>
      <c r="E54" s="568">
        <v>15</v>
      </c>
      <c r="F54" s="568">
        <f>30*E54</f>
        <v>450</v>
      </c>
      <c r="G54" s="568">
        <v>15</v>
      </c>
      <c r="H54" s="568">
        <f>30*G54</f>
        <v>450</v>
      </c>
      <c r="I54" s="568"/>
      <c r="J54" s="568"/>
      <c r="K54" s="568"/>
      <c r="L54" s="568"/>
      <c r="M54" s="568"/>
      <c r="N54" s="568"/>
      <c r="O54" s="104"/>
      <c r="T54" s="5"/>
      <c r="U54" s="5"/>
    </row>
    <row r="55" spans="1:21" ht="24.5" customHeight="1">
      <c r="A55" s="104"/>
      <c r="C55" s="854" t="s">
        <v>610</v>
      </c>
      <c r="D55" s="855"/>
      <c r="E55" s="611">
        <f>((F46+F48+F52)/$E$59)+310</f>
        <v>1191.4733908327371</v>
      </c>
      <c r="F55" s="611"/>
      <c r="G55" s="611">
        <f>((H46+H48+H52)/$E$59)+310</f>
        <v>965.49320176264553</v>
      </c>
      <c r="H55" s="568"/>
      <c r="I55" s="568"/>
      <c r="J55" s="568"/>
      <c r="K55" s="568"/>
      <c r="L55" s="568"/>
      <c r="M55" s="568"/>
      <c r="N55" s="568"/>
      <c r="O55" s="104"/>
      <c r="T55" s="5"/>
      <c r="U55" s="5"/>
    </row>
    <row r="56" spans="1:21" ht="16">
      <c r="A56" s="104"/>
      <c r="C56" s="854" t="s">
        <v>613</v>
      </c>
      <c r="D56" s="855"/>
      <c r="E56" s="611">
        <f>((F46+F51+F47+F53)/$E$59)+310</f>
        <v>1402.4635606945126</v>
      </c>
      <c r="F56" s="611"/>
      <c r="G56" s="611">
        <f>((H46+H51+H47+H53)/$E$59)+310</f>
        <v>1123.3780271929495</v>
      </c>
      <c r="H56" s="568"/>
      <c r="I56" s="568"/>
      <c r="J56" s="568"/>
      <c r="K56" s="568"/>
      <c r="L56" s="568"/>
      <c r="M56" s="568"/>
      <c r="N56" s="568"/>
      <c r="O56" s="104"/>
      <c r="T56" s="5"/>
      <c r="U56" s="5"/>
    </row>
    <row r="57" spans="1:21" ht="16">
      <c r="A57" s="104"/>
      <c r="C57" s="854" t="s">
        <v>614</v>
      </c>
      <c r="D57" s="855"/>
      <c r="E57" s="611">
        <f>((F49+F50+F51+F54)/$E$59)+310</f>
        <v>1560.1977326654364</v>
      </c>
      <c r="F57" s="611"/>
      <c r="G57" s="611">
        <f>((H49+H50+H51+H54)/$E$59)+310</f>
        <v>1240.4357651312569</v>
      </c>
      <c r="H57" s="568"/>
      <c r="I57" s="568"/>
      <c r="J57" s="568"/>
      <c r="K57" s="568"/>
      <c r="L57" s="568"/>
      <c r="M57" s="568"/>
      <c r="N57" s="568"/>
      <c r="O57" s="104"/>
      <c r="T57" s="5">
        <v>1.7299999999999999E-2</v>
      </c>
      <c r="U57" s="5"/>
    </row>
    <row r="58" spans="1:21" ht="16">
      <c r="A58" s="104"/>
      <c r="C58" s="612"/>
      <c r="D58" s="613" t="s">
        <v>619</v>
      </c>
      <c r="E58" s="614">
        <v>2000</v>
      </c>
      <c r="F58" s="614"/>
      <c r="G58" s="614">
        <v>1500</v>
      </c>
      <c r="H58" s="614"/>
      <c r="I58" s="614"/>
      <c r="J58" s="568"/>
      <c r="K58" s="568"/>
      <c r="L58" s="568"/>
      <c r="M58" s="568"/>
      <c r="N58" s="568"/>
      <c r="O58" s="104"/>
      <c r="T58" s="5">
        <v>0.1031</v>
      </c>
      <c r="U58" s="5"/>
    </row>
    <row r="59" spans="1:21" ht="16">
      <c r="A59" s="104"/>
      <c r="B59" s="615"/>
      <c r="C59" s="856" t="s">
        <v>618</v>
      </c>
      <c r="D59" s="857"/>
      <c r="E59" s="616">
        <f>узлы!W58</f>
        <v>66.377499999999998</v>
      </c>
      <c r="F59" s="616"/>
      <c r="G59" s="616"/>
      <c r="H59" s="616"/>
      <c r="I59" s="616"/>
      <c r="J59" s="617"/>
      <c r="K59" s="618"/>
      <c r="L59" s="619"/>
      <c r="M59" s="619"/>
      <c r="N59" s="620"/>
      <c r="O59" s="104"/>
    </row>
    <row r="60" spans="1:21">
      <c r="H60" s="621"/>
      <c r="I60" s="621"/>
    </row>
    <row r="61" spans="1:21">
      <c r="H61" s="552"/>
      <c r="I61" s="552"/>
    </row>
    <row r="70" spans="8:9">
      <c r="H70" s="552"/>
      <c r="I70" s="552"/>
    </row>
    <row r="71" spans="8:9">
      <c r="H71" s="552"/>
      <c r="I71" s="552"/>
    </row>
    <row r="76" spans="8:9">
      <c r="H76" s="552"/>
      <c r="I76" s="552"/>
    </row>
    <row r="77" spans="8:9">
      <c r="H77" s="552"/>
      <c r="I77" s="552"/>
    </row>
    <row r="86" spans="7:9">
      <c r="H86" s="552"/>
      <c r="I86" s="552"/>
    </row>
    <row r="87" spans="7:9">
      <c r="H87" s="552"/>
      <c r="I87" s="552"/>
    </row>
    <row r="91" spans="7:9">
      <c r="G91" s="552"/>
      <c r="H91" s="552"/>
      <c r="I91" s="552"/>
    </row>
    <row r="92" spans="7:9">
      <c r="G92" s="552"/>
      <c r="H92" s="552"/>
      <c r="I92" s="552"/>
    </row>
    <row r="94" spans="7:9">
      <c r="H94" s="552"/>
      <c r="I94" s="552"/>
    </row>
    <row r="95" spans="7:9">
      <c r="H95" s="552"/>
      <c r="I95" s="552"/>
    </row>
    <row r="97" spans="8:9">
      <c r="H97" s="552"/>
      <c r="I97" s="552"/>
    </row>
    <row r="98" spans="8:9">
      <c r="H98" s="552"/>
      <c r="I98" s="552"/>
    </row>
    <row r="99" spans="8:9">
      <c r="H99" s="552"/>
      <c r="I99" s="552"/>
    </row>
    <row r="100" spans="8:9">
      <c r="H100" s="552"/>
      <c r="I100" s="552"/>
    </row>
    <row r="101" spans="8:9">
      <c r="H101" s="552"/>
      <c r="I101" s="552"/>
    </row>
    <row r="103" spans="8:9">
      <c r="H103" s="552"/>
      <c r="I103" s="552"/>
    </row>
    <row r="104" spans="8:9">
      <c r="H104" s="552"/>
      <c r="I104" s="552"/>
    </row>
    <row r="107" spans="8:9">
      <c r="H107" s="552"/>
      <c r="I107" s="552"/>
    </row>
    <row r="108" spans="8:9">
      <c r="H108" s="552"/>
      <c r="I108" s="552"/>
    </row>
    <row r="110" spans="8:9">
      <c r="H110" s="552"/>
      <c r="I110" s="552"/>
    </row>
    <row r="111" spans="8:9">
      <c r="H111" s="552"/>
      <c r="I111" s="552"/>
    </row>
    <row r="112" spans="8:9">
      <c r="H112" s="552"/>
      <c r="I112" s="552"/>
    </row>
    <row r="113" spans="8:46">
      <c r="H113" s="552"/>
      <c r="I113" s="552"/>
    </row>
    <row r="114" spans="8:46">
      <c r="H114" s="552"/>
      <c r="I114" s="552"/>
    </row>
    <row r="116" spans="8:46">
      <c r="H116" s="552"/>
      <c r="I116" s="552"/>
    </row>
    <row r="117" spans="8:46">
      <c r="H117" s="552"/>
      <c r="I117" s="552"/>
    </row>
    <row r="118" spans="8:46">
      <c r="AT118" s="622"/>
    </row>
    <row r="119" spans="8:46">
      <c r="AT119" s="622"/>
    </row>
    <row r="120" spans="8:46">
      <c r="AT120" s="622"/>
    </row>
    <row r="121" spans="8:46">
      <c r="H121" s="552"/>
      <c r="I121" s="552"/>
      <c r="AT121" s="622"/>
    </row>
    <row r="122" spans="8:46">
      <c r="H122" s="552"/>
      <c r="I122" s="552"/>
      <c r="AT122" s="622"/>
    </row>
    <row r="124" spans="8:46">
      <c r="H124" s="552"/>
      <c r="I124" s="552"/>
      <c r="AT124" s="622"/>
    </row>
    <row r="125" spans="8:46">
      <c r="H125" s="552"/>
      <c r="I125" s="552"/>
    </row>
    <row r="126" spans="8:46">
      <c r="H126" s="552"/>
      <c r="I126" s="552"/>
    </row>
    <row r="127" spans="8:46">
      <c r="H127" s="552"/>
      <c r="I127" s="552"/>
    </row>
    <row r="128" spans="8:46">
      <c r="H128" s="552"/>
      <c r="I128" s="552"/>
    </row>
    <row r="129" spans="8:9">
      <c r="H129" s="552"/>
      <c r="I129" s="552"/>
    </row>
    <row r="130" spans="8:9">
      <c r="H130" s="552"/>
      <c r="I130" s="552"/>
    </row>
    <row r="152" spans="4:12">
      <c r="D152" s="552"/>
      <c r="E152" s="552"/>
      <c r="F152" s="552"/>
      <c r="G152" s="552"/>
      <c r="H152" s="552"/>
      <c r="I152" s="552"/>
      <c r="J152" s="552"/>
      <c r="K152" s="552"/>
      <c r="L152" s="552"/>
    </row>
    <row r="153" spans="4:12">
      <c r="D153" s="552"/>
      <c r="E153" s="552"/>
      <c r="F153" s="552"/>
      <c r="G153" s="552"/>
      <c r="H153" s="552"/>
      <c r="I153" s="552"/>
      <c r="J153" s="552"/>
      <c r="K153" s="552"/>
      <c r="L153" s="552"/>
    </row>
    <row r="154" spans="4:12">
      <c r="D154" s="552"/>
      <c r="E154" s="552"/>
      <c r="F154" s="552"/>
      <c r="G154" s="552"/>
      <c r="H154" s="552"/>
      <c r="I154" s="552"/>
      <c r="J154" s="552"/>
      <c r="K154" s="552"/>
      <c r="L154" s="552"/>
    </row>
    <row r="194" spans="4:12">
      <c r="G194" s="552"/>
      <c r="H194" s="552"/>
      <c r="I194" s="552"/>
    </row>
    <row r="195" spans="4:12">
      <c r="G195" s="552"/>
      <c r="H195" s="552"/>
      <c r="I195" s="552"/>
    </row>
    <row r="198" spans="4:12">
      <c r="D198" s="552"/>
      <c r="E198" s="552"/>
      <c r="F198" s="552"/>
      <c r="G198" s="552"/>
      <c r="H198" s="552"/>
      <c r="I198" s="552"/>
      <c r="J198" s="552"/>
      <c r="K198" s="552"/>
      <c r="L198" s="552"/>
    </row>
    <row r="199" spans="4:12">
      <c r="D199" s="552"/>
      <c r="E199" s="552"/>
      <c r="F199" s="552"/>
      <c r="G199" s="552"/>
      <c r="H199" s="552"/>
      <c r="I199" s="552"/>
      <c r="J199" s="552"/>
      <c r="K199" s="552"/>
      <c r="L199" s="552"/>
    </row>
    <row r="200" spans="4:12">
      <c r="D200" s="552"/>
      <c r="E200" s="552"/>
      <c r="F200" s="552"/>
      <c r="G200" s="552"/>
      <c r="H200" s="552"/>
      <c r="I200" s="552"/>
      <c r="J200" s="552"/>
      <c r="K200" s="552"/>
      <c r="L200" s="552"/>
    </row>
    <row r="231" spans="7:9">
      <c r="G231" s="552"/>
      <c r="H231" s="552"/>
      <c r="I231" s="552"/>
    </row>
    <row r="232" spans="7:9">
      <c r="G232" s="552"/>
      <c r="H232" s="552"/>
      <c r="I232" s="552"/>
    </row>
    <row r="291" spans="4:12">
      <c r="G291" s="853"/>
      <c r="H291" s="853"/>
      <c r="I291" s="853"/>
    </row>
    <row r="292" spans="4:12">
      <c r="G292" s="853"/>
      <c r="H292" s="853"/>
      <c r="I292" s="853"/>
    </row>
    <row r="295" spans="4:12">
      <c r="D295" s="853"/>
      <c r="E295" s="853"/>
      <c r="F295" s="853"/>
      <c r="G295" s="853"/>
      <c r="H295" s="853"/>
      <c r="I295" s="853"/>
      <c r="J295" s="853"/>
      <c r="K295" s="853"/>
      <c r="L295" s="853"/>
    </row>
    <row r="296" spans="4:12">
      <c r="D296" s="853"/>
      <c r="E296" s="853"/>
      <c r="F296" s="853"/>
      <c r="G296" s="853"/>
      <c r="H296" s="853"/>
      <c r="I296" s="853"/>
      <c r="J296" s="853"/>
      <c r="K296" s="853"/>
      <c r="L296" s="853"/>
    </row>
    <row r="298" spans="4:12">
      <c r="H298" s="853"/>
      <c r="I298" s="853"/>
    </row>
    <row r="340" spans="8:9">
      <c r="H340" s="853"/>
      <c r="I340" s="853"/>
    </row>
    <row r="385" spans="4:12">
      <c r="D385" s="853"/>
      <c r="E385" s="853"/>
      <c r="F385" s="853"/>
      <c r="G385" s="853"/>
      <c r="H385" s="853"/>
      <c r="I385" s="853"/>
      <c r="J385" s="853"/>
      <c r="K385" s="853"/>
      <c r="L385" s="853"/>
    </row>
    <row r="386" spans="4:12">
      <c r="D386" s="853"/>
      <c r="E386" s="853"/>
      <c r="F386" s="853"/>
      <c r="G386" s="853"/>
      <c r="H386" s="853"/>
      <c r="I386" s="853"/>
      <c r="J386" s="853"/>
      <c r="K386" s="853"/>
      <c r="L386" s="853"/>
    </row>
  </sheetData>
  <mergeCells count="31">
    <mergeCell ref="Y13:AF13"/>
    <mergeCell ref="C49:D49"/>
    <mergeCell ref="C50:D50"/>
    <mergeCell ref="C51:D51"/>
    <mergeCell ref="V18:V19"/>
    <mergeCell ref="C43:D43"/>
    <mergeCell ref="C45:D45"/>
    <mergeCell ref="AA16:AH16"/>
    <mergeCell ref="W18:W19"/>
    <mergeCell ref="P12:Q12"/>
    <mergeCell ref="J24:J25"/>
    <mergeCell ref="K24:K25"/>
    <mergeCell ref="C25:D25"/>
    <mergeCell ref="N12:O12"/>
    <mergeCell ref="C57:D57"/>
    <mergeCell ref="C59:D59"/>
    <mergeCell ref="C33:D33"/>
    <mergeCell ref="C55:D55"/>
    <mergeCell ref="C52:D52"/>
    <mergeCell ref="C53:D53"/>
    <mergeCell ref="C54:D54"/>
    <mergeCell ref="C56:D56"/>
    <mergeCell ref="C46:D46"/>
    <mergeCell ref="C42:N42"/>
    <mergeCell ref="C47:D47"/>
    <mergeCell ref="C48:D48"/>
    <mergeCell ref="D385:L386"/>
    <mergeCell ref="H340:I340"/>
    <mergeCell ref="H298:I298"/>
    <mergeCell ref="D295:L296"/>
    <mergeCell ref="G291:I292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/>
  <dimension ref="B1:AE140"/>
  <sheetViews>
    <sheetView topLeftCell="P100" zoomScale="85" zoomScaleNormal="85" workbookViewId="0">
      <selection activeCell="P100" sqref="P100"/>
    </sheetView>
  </sheetViews>
  <sheetFormatPr defaultRowHeight="12.5"/>
  <cols>
    <col min="1" max="2" width="5" style="29" customWidth="1"/>
    <col min="3" max="6" width="8.7265625" style="29"/>
    <col min="7" max="7" width="9.7265625" style="29" customWidth="1"/>
    <col min="8" max="8" width="8.7265625" style="29"/>
    <col min="9" max="12" width="7.54296875" style="29" customWidth="1"/>
    <col min="13" max="14" width="8.7265625" style="29"/>
    <col min="15" max="15" width="10.26953125" style="29" bestFit="1" customWidth="1"/>
    <col min="16" max="16" width="6.54296875" style="29" customWidth="1"/>
    <col min="17" max="17" width="10.54296875" style="29" customWidth="1"/>
    <col min="18" max="18" width="25.54296875" style="29" customWidth="1"/>
    <col min="19" max="19" width="12.26953125" style="29" customWidth="1"/>
    <col min="20" max="20" width="12" style="29" customWidth="1"/>
    <col min="21" max="22" width="8.7265625" style="29"/>
    <col min="23" max="23" width="17" style="29" customWidth="1"/>
    <col min="24" max="24" width="8.7265625" style="29"/>
    <col min="25" max="25" width="9.90625" style="29" customWidth="1"/>
    <col min="26" max="26" width="7.81640625" style="29" customWidth="1"/>
    <col min="27" max="27" width="10" style="29" customWidth="1"/>
    <col min="28" max="28" width="69.08984375" style="29" customWidth="1"/>
    <col min="29" max="29" width="9.90625" style="29" bestFit="1" customWidth="1"/>
    <col min="30" max="30" width="7.81640625" style="29" customWidth="1"/>
    <col min="31" max="31" width="10" style="29" bestFit="1" customWidth="1"/>
    <col min="32" max="16384" width="8.7265625" style="29"/>
  </cols>
  <sheetData>
    <row r="1" spans="2:29" ht="14.5">
      <c r="U1" s="919" t="s">
        <v>53</v>
      </c>
      <c r="V1" s="919"/>
      <c r="W1" s="29" t="e">
        <f>INDEX(стоимость_шесть2,S7)</f>
        <v>#N/A</v>
      </c>
      <c r="Y1" s="29" t="s">
        <v>682</v>
      </c>
      <c r="AB1" s="2"/>
      <c r="AC1" s="29" t="s">
        <v>682</v>
      </c>
    </row>
    <row r="2" spans="2:29" ht="8" customHeight="1">
      <c r="F2" s="456"/>
      <c r="U2" s="919" t="s">
        <v>54</v>
      </c>
      <c r="V2" s="919"/>
      <c r="W2" s="456" t="e">
        <f>INDEX(стоимость_2,S7)</f>
        <v>#N/A</v>
      </c>
      <c r="Y2" s="29" t="s">
        <v>684</v>
      </c>
      <c r="AB2" s="2"/>
      <c r="AC2" s="29" t="s">
        <v>684</v>
      </c>
    </row>
    <row r="3" spans="2:29" ht="8" customHeight="1">
      <c r="F3" s="920" t="s">
        <v>2954</v>
      </c>
      <c r="G3" s="920"/>
      <c r="H3" s="920"/>
      <c r="I3" s="920"/>
      <c r="J3" s="920"/>
      <c r="K3" s="920"/>
      <c r="L3" s="920"/>
      <c r="M3" s="920"/>
      <c r="N3" s="920"/>
      <c r="O3" s="920"/>
      <c r="P3" s="920"/>
      <c r="Q3" s="457"/>
      <c r="R3" s="457"/>
      <c r="U3" s="919" t="s">
        <v>55</v>
      </c>
      <c r="V3" s="919"/>
      <c r="W3" s="456" t="e">
        <f>INDEX(стоимость_два2,S7)</f>
        <v>#N/A</v>
      </c>
      <c r="Y3" s="29" t="s">
        <v>685</v>
      </c>
      <c r="AB3" s="2"/>
      <c r="AC3" s="29" t="s">
        <v>685</v>
      </c>
    </row>
    <row r="4" spans="2:29" ht="28" customHeight="1"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457"/>
      <c r="R4" s="457"/>
      <c r="S4" s="458">
        <f>IF(закулисье!K5=1,5,6)</f>
        <v>5</v>
      </c>
      <c r="U4" s="919" t="s">
        <v>56</v>
      </c>
      <c r="V4" s="919"/>
      <c r="W4" s="29" t="e">
        <f>INDEX(стоимость_три,S7)</f>
        <v>#N/A</v>
      </c>
      <c r="AB4" s="2"/>
    </row>
    <row r="5" spans="2:29" ht="8" customHeight="1"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457"/>
      <c r="R5" s="457"/>
      <c r="S5" s="459">
        <v>1</v>
      </c>
      <c r="Y5" s="29" t="s">
        <v>720</v>
      </c>
      <c r="AB5" s="2"/>
      <c r="AC5" s="29" t="s">
        <v>720</v>
      </c>
    </row>
    <row r="6" spans="2:29" ht="8" customHeight="1">
      <c r="F6" s="920"/>
      <c r="G6" s="920"/>
      <c r="H6" s="920"/>
      <c r="I6" s="920"/>
      <c r="J6" s="920"/>
      <c r="K6" s="920"/>
      <c r="L6" s="920"/>
      <c r="M6" s="920"/>
      <c r="N6" s="920"/>
      <c r="O6" s="920"/>
      <c r="P6" s="920"/>
      <c r="Q6" s="457"/>
      <c r="R6" s="457"/>
      <c r="AB6" s="2"/>
    </row>
    <row r="7" spans="2:29" ht="8" customHeight="1">
      <c r="F7" s="920"/>
      <c r="G7" s="920"/>
      <c r="H7" s="920"/>
      <c r="I7" s="920"/>
      <c r="J7" s="920"/>
      <c r="K7" s="920"/>
      <c r="L7" s="920"/>
      <c r="M7" s="920"/>
      <c r="N7" s="920"/>
      <c r="O7" s="920"/>
      <c r="P7" s="920"/>
      <c r="Q7" s="457"/>
      <c r="R7" s="457"/>
      <c r="S7" s="459">
        <v>22</v>
      </c>
      <c r="Y7" s="29" t="s">
        <v>720</v>
      </c>
      <c r="AB7" s="2"/>
      <c r="AC7" s="29" t="s">
        <v>720</v>
      </c>
    </row>
    <row r="8" spans="2:29" ht="8" customHeight="1">
      <c r="F8" s="920"/>
      <c r="G8" s="920"/>
      <c r="H8" s="920"/>
      <c r="I8" s="920"/>
      <c r="J8" s="920"/>
      <c r="K8" s="920"/>
      <c r="L8" s="920"/>
      <c r="M8" s="920"/>
      <c r="N8" s="920"/>
      <c r="O8" s="920"/>
      <c r="P8" s="920"/>
      <c r="Q8" s="457"/>
      <c r="R8" s="457"/>
      <c r="Y8" s="29" t="s">
        <v>686</v>
      </c>
      <c r="AB8" s="2"/>
      <c r="AC8" s="29" t="s">
        <v>686</v>
      </c>
    </row>
    <row r="9" spans="2:29" ht="8" customHeight="1">
      <c r="F9" s="920"/>
      <c r="G9" s="920"/>
      <c r="H9" s="920"/>
      <c r="I9" s="920"/>
      <c r="J9" s="920"/>
      <c r="K9" s="920"/>
      <c r="L9" s="920"/>
      <c r="M9" s="920"/>
      <c r="N9" s="920"/>
      <c r="O9" s="920"/>
      <c r="P9" s="920"/>
      <c r="Q9" s="457"/>
      <c r="R9" s="457"/>
      <c r="Y9" s="29" t="s">
        <v>687</v>
      </c>
      <c r="AB9" s="2"/>
      <c r="AC9" s="29" t="s">
        <v>2941</v>
      </c>
    </row>
    <row r="10" spans="2:29" ht="8" customHeight="1">
      <c r="F10" s="920"/>
      <c r="G10" s="920"/>
      <c r="H10" s="920"/>
      <c r="I10" s="920"/>
      <c r="J10" s="920"/>
      <c r="K10" s="920"/>
      <c r="L10" s="920"/>
      <c r="M10" s="920"/>
      <c r="N10" s="920"/>
      <c r="O10" s="920"/>
      <c r="P10" s="920"/>
      <c r="Y10" s="29" t="s">
        <v>688</v>
      </c>
      <c r="AB10" s="2"/>
      <c r="AC10" s="29" t="s">
        <v>687</v>
      </c>
    </row>
    <row r="11" spans="2:29" ht="8" customHeight="1">
      <c r="C11" s="896"/>
      <c r="D11" s="896"/>
      <c r="E11" s="896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56"/>
      <c r="R11" s="456"/>
      <c r="Y11" s="29" t="s">
        <v>689</v>
      </c>
      <c r="AB11" s="2"/>
      <c r="AC11" s="29" t="s">
        <v>688</v>
      </c>
    </row>
    <row r="12" spans="2:29" ht="12.75" customHeight="1">
      <c r="B12" s="461"/>
      <c r="C12" s="897" t="s">
        <v>57</v>
      </c>
      <c r="D12" s="898"/>
      <c r="E12" s="898"/>
      <c r="F12" s="898"/>
      <c r="G12" s="898"/>
      <c r="H12" s="898"/>
      <c r="I12" s="898"/>
      <c r="J12" s="898"/>
      <c r="K12" s="898"/>
      <c r="L12" s="899"/>
      <c r="M12" s="897" t="s">
        <v>58</v>
      </c>
      <c r="N12" s="898"/>
      <c r="O12" s="462"/>
      <c r="P12" s="463"/>
      <c r="Q12" s="906" t="s">
        <v>59</v>
      </c>
      <c r="R12" s="464"/>
      <c r="Y12" s="29" t="s">
        <v>690</v>
      </c>
      <c r="AB12" s="2"/>
      <c r="AC12" s="29" t="s">
        <v>689</v>
      </c>
    </row>
    <row r="13" spans="2:29" ht="12.75" customHeight="1">
      <c r="B13" s="461"/>
      <c r="C13" s="900"/>
      <c r="D13" s="901"/>
      <c r="E13" s="901"/>
      <c r="F13" s="901"/>
      <c r="G13" s="901"/>
      <c r="H13" s="901"/>
      <c r="I13" s="901"/>
      <c r="J13" s="901"/>
      <c r="K13" s="901"/>
      <c r="L13" s="902"/>
      <c r="M13" s="900"/>
      <c r="N13" s="901"/>
      <c r="O13" s="465"/>
      <c r="P13" s="466"/>
      <c r="Q13" s="907"/>
      <c r="R13" s="467"/>
      <c r="Y13" s="29" t="s">
        <v>691</v>
      </c>
      <c r="AB13" s="2"/>
      <c r="AC13" s="29" t="s">
        <v>690</v>
      </c>
    </row>
    <row r="14" spans="2:29" ht="12.75" customHeight="1">
      <c r="B14" s="461"/>
      <c r="C14" s="903"/>
      <c r="D14" s="904"/>
      <c r="E14" s="904"/>
      <c r="F14" s="904"/>
      <c r="G14" s="904"/>
      <c r="H14" s="904"/>
      <c r="I14" s="904"/>
      <c r="J14" s="904"/>
      <c r="K14" s="904"/>
      <c r="L14" s="905"/>
      <c r="M14" s="903"/>
      <c r="N14" s="904"/>
      <c r="O14" s="468"/>
      <c r="P14" s="469"/>
      <c r="Q14" s="908"/>
      <c r="R14" s="470"/>
      <c r="Y14" s="29" t="s">
        <v>692</v>
      </c>
      <c r="AB14" s="2"/>
      <c r="AC14" s="29" t="s">
        <v>691</v>
      </c>
    </row>
    <row r="15" spans="2:29" ht="18" customHeight="1">
      <c r="B15" s="456"/>
      <c r="C15" s="909" t="s">
        <v>60</v>
      </c>
      <c r="D15" s="870"/>
      <c r="E15" s="870"/>
      <c r="F15" s="870"/>
      <c r="G15" s="870"/>
      <c r="H15" s="870"/>
      <c r="I15" s="870" t="e">
        <f>INDEX(города2,S7)</f>
        <v>#N/A</v>
      </c>
      <c r="J15" s="870"/>
      <c r="K15" s="870"/>
      <c r="L15" s="910"/>
      <c r="M15" s="911" t="s">
        <v>61</v>
      </c>
      <c r="N15" s="912"/>
      <c r="O15" s="912"/>
      <c r="P15" s="912"/>
      <c r="Q15" s="915" t="e">
        <f>INDEX(комплекты,S4)</f>
        <v>#REF!</v>
      </c>
      <c r="R15" s="916"/>
      <c r="S15" s="459" t="b">
        <v>0</v>
      </c>
      <c r="Y15" s="29" t="s">
        <v>693</v>
      </c>
      <c r="AB15" s="2"/>
      <c r="AC15" s="29" t="s">
        <v>692</v>
      </c>
    </row>
    <row r="16" spans="2:29" ht="20.5" customHeight="1">
      <c r="B16" s="456"/>
      <c r="C16" s="909"/>
      <c r="D16" s="870"/>
      <c r="E16" s="870"/>
      <c r="F16" s="870"/>
      <c r="G16" s="870"/>
      <c r="H16" s="870"/>
      <c r="I16" s="870"/>
      <c r="J16" s="870"/>
      <c r="K16" s="870"/>
      <c r="L16" s="910"/>
      <c r="M16" s="913"/>
      <c r="N16" s="914"/>
      <c r="O16" s="914"/>
      <c r="P16" s="914"/>
      <c r="Q16" s="917"/>
      <c r="R16" s="918"/>
      <c r="S16" s="471" t="str">
        <f>IF(S15=TRUE,IF(R17="рублей",O41,P41),"")</f>
        <v/>
      </c>
      <c r="Y16" s="29" t="s">
        <v>694</v>
      </c>
      <c r="AB16" s="2"/>
      <c r="AC16" s="29" t="s">
        <v>693</v>
      </c>
    </row>
    <row r="17" spans="2:29" ht="27" customHeight="1" thickBot="1">
      <c r="B17" s="456"/>
      <c r="C17" s="874" t="s">
        <v>62</v>
      </c>
      <c r="D17" s="875"/>
      <c r="E17" s="875"/>
      <c r="F17" s="875"/>
      <c r="G17" s="472">
        <v>65</v>
      </c>
      <c r="H17" s="473" t="str">
        <f>IF($S$7&lt;133,"рублей","гривен")</f>
        <v>рублей</v>
      </c>
      <c r="M17" s="871" t="s">
        <v>63</v>
      </c>
      <c r="N17" s="872"/>
      <c r="O17" s="894" t="e">
        <f>I15</f>
        <v>#N/A</v>
      </c>
      <c r="P17" s="895"/>
      <c r="Q17" s="474" t="e">
        <f>IF(S15=TRUE,S16+IF(S7&lt;133,IF(Q19&gt;200,(IF(Q19&gt;500,Q19*W1,IF(Q19&gt;200&lt;500,Q19*W2,IF(Q19&lt;200&gt;100,W3*Q19,IF(Q19&lt;100,Q19*W4,Q19*W3)))))+330,IF(Q19&gt;500,Q19*W1,IF(Q19&gt;200&lt;500,Q19*W2,IF(Q19&lt;200&gt;100,W3*Q19,IF(Q19&lt;100,Q19*W4,Q19*W3))))),IF(Q19&gt;200,(IF(Q19&gt;500,Q19*W1,IF(Q19&gt;200&lt;500,Q19*W2,IF(Q19&lt;200&gt;100,W3*Q19,IF(Q19&lt;100,Q19*W4,Q19*W3)))))+70,IF(Q19&gt;500,Q19*W1,IF(Q19&gt;200&lt;500,Q19*W2,IF(Q19&lt;200&gt;100,W3*Q19,IF(Q19&lt;100,Q19*W4,Q19*W3)))))),IF(S7&lt;133,IF(Q19&gt;200,(IF(Q19&gt;500,Q19*W1,IF(Q19&gt;200&lt;500,Q19*W2,IF(Q19&lt;200&gt;100,W3*Q19,IF(Q19&lt;100,Q19*W4,Q19*W3)))))+330,IF(Q19&gt;500,Q19*W1,IF(Q19&gt;200&lt;500,Q19*W2,IF(Q19&lt;200&gt;100,W3*Q19,IF(Q19&lt;100,Q19*W4,Q19*W3))))),IF(Q19&gt;200,(IF(Q19&gt;500,Q19*W1,IF(Q19&gt;200&lt;500,Q19*W2,IF(Q19&lt;200&gt;100,W3*Q19,IF(Q19&lt;100,Q19*W4,Q19*W3)))))+70,IF(Q19&gt;500,Q19*W1,IF(Q19&gt;200&lt;500,Q19*W2,IF(Q19&lt;200&gt;100,W3*Q19,IF(Q19&lt;100,Q19*W4,Q19*W3)))))))</f>
        <v>#N/A</v>
      </c>
      <c r="R17" s="475" t="str">
        <f>IF($S$7&lt;133,"рублей","гривен")</f>
        <v>рублей</v>
      </c>
      <c r="Y17" s="29" t="s">
        <v>695</v>
      </c>
      <c r="AB17" s="2"/>
      <c r="AC17" s="29" t="s">
        <v>694</v>
      </c>
    </row>
    <row r="18" spans="2:29" ht="27" customHeight="1" thickBot="1">
      <c r="B18" s="456"/>
      <c r="C18" s="892" t="s">
        <v>2955</v>
      </c>
      <c r="D18" s="893"/>
      <c r="E18" s="893"/>
      <c r="F18" s="893"/>
      <c r="G18" s="476">
        <v>220</v>
      </c>
      <c r="H18" s="477" t="str">
        <f t="shared" ref="H18:H23" si="0">IF($S$7&lt;133,"рублей","гривен")</f>
        <v>рублей</v>
      </c>
      <c r="M18" s="874" t="s">
        <v>64</v>
      </c>
      <c r="N18" s="875"/>
      <c r="O18" s="875"/>
      <c r="P18" s="891"/>
      <c r="Q18" s="478">
        <f>INDEX(количество3,S4)</f>
        <v>61</v>
      </c>
      <c r="R18" s="473" t="s">
        <v>65</v>
      </c>
      <c r="Y18" s="479" t="s">
        <v>696</v>
      </c>
      <c r="AB18" s="2"/>
      <c r="AC18" s="29" t="s">
        <v>695</v>
      </c>
    </row>
    <row r="19" spans="2:29" ht="27" customHeight="1" thickBot="1">
      <c r="B19" s="456"/>
      <c r="C19" s="892" t="s">
        <v>2956</v>
      </c>
      <c r="D19" s="893"/>
      <c r="E19" s="893"/>
      <c r="F19" s="893"/>
      <c r="G19" s="476">
        <v>335</v>
      </c>
      <c r="H19" s="477" t="str">
        <f t="shared" si="0"/>
        <v>рублей</v>
      </c>
      <c r="M19" s="880" t="s">
        <v>66</v>
      </c>
      <c r="N19" s="878"/>
      <c r="O19" s="878"/>
      <c r="P19" s="885"/>
      <c r="Q19" s="474">
        <f>INDEX(кг3,S4)</f>
        <v>283.2</v>
      </c>
      <c r="R19" s="477" t="s">
        <v>67</v>
      </c>
      <c r="Y19" s="29" t="s">
        <v>697</v>
      </c>
      <c r="AB19" s="2"/>
      <c r="AC19" s="29" t="s">
        <v>696</v>
      </c>
    </row>
    <row r="20" spans="2:29" ht="27" customHeight="1" thickBot="1">
      <c r="C20" s="880" t="s">
        <v>68</v>
      </c>
      <c r="D20" s="878"/>
      <c r="E20" s="878"/>
      <c r="F20" s="879"/>
      <c r="G20" s="476">
        <v>20</v>
      </c>
      <c r="H20" s="477" t="str">
        <f t="shared" si="0"/>
        <v>рублей</v>
      </c>
      <c r="I20" s="456"/>
      <c r="J20" s="456"/>
      <c r="K20" s="456"/>
      <c r="L20" s="456"/>
      <c r="M20" s="880" t="s">
        <v>69</v>
      </c>
      <c r="N20" s="878"/>
      <c r="O20" s="878"/>
      <c r="P20" s="885"/>
      <c r="Q20" s="480">
        <f>INDEX(ящики,$S$4)</f>
        <v>0</v>
      </c>
      <c r="R20" s="477" t="s">
        <v>70</v>
      </c>
      <c r="AB20" s="2"/>
      <c r="AC20" s="29" t="s">
        <v>697</v>
      </c>
    </row>
    <row r="21" spans="2:29" ht="27" customHeight="1" thickBot="1">
      <c r="B21" s="456"/>
      <c r="C21" s="884" t="s">
        <v>71</v>
      </c>
      <c r="D21" s="882"/>
      <c r="E21" s="882"/>
      <c r="F21" s="882"/>
      <c r="G21" s="476">
        <v>30</v>
      </c>
      <c r="H21" s="481" t="str">
        <f t="shared" si="0"/>
        <v>рублей</v>
      </c>
      <c r="I21" s="456"/>
      <c r="J21" s="456"/>
      <c r="K21" s="456"/>
      <c r="L21" s="482"/>
      <c r="M21" s="456"/>
      <c r="N21" s="456"/>
      <c r="O21" s="456"/>
      <c r="P21" s="483">
        <f>(0.22*0.26*0.38)*Q20</f>
        <v>0</v>
      </c>
      <c r="Q21" s="483" t="s">
        <v>72</v>
      </c>
      <c r="R21" s="482"/>
      <c r="S21" s="30"/>
      <c r="Y21" s="29" t="s">
        <v>698</v>
      </c>
      <c r="AB21" s="2"/>
    </row>
    <row r="22" spans="2:29" ht="27" customHeight="1" thickBot="1">
      <c r="C22" s="871" t="s">
        <v>73</v>
      </c>
      <c r="D22" s="872"/>
      <c r="E22" s="872"/>
      <c r="F22" s="873"/>
      <c r="G22" s="480">
        <f>IF(S5=2,(G17*Q29)+(G19*Q30)+(G20*Q28)+(G21*Q20),(G17*Q29)+(G18*Q30)+(G21*Q20))</f>
        <v>13420</v>
      </c>
      <c r="H22" s="484" t="str">
        <f t="shared" si="0"/>
        <v>рублей</v>
      </c>
      <c r="I22" s="456"/>
      <c r="J22" s="456"/>
      <c r="K22" s="456"/>
      <c r="L22" s="482"/>
      <c r="R22" s="482"/>
      <c r="S22" s="456"/>
      <c r="AB22" s="2"/>
      <c r="AC22" s="29" t="s">
        <v>698</v>
      </c>
    </row>
    <row r="23" spans="2:29" ht="27" customHeight="1" thickBot="1">
      <c r="C23" s="877" t="s">
        <v>74</v>
      </c>
      <c r="D23" s="878"/>
      <c r="E23" s="878"/>
      <c r="F23" s="878"/>
      <c r="G23" s="485">
        <f>W58</f>
        <v>66.377499999999998</v>
      </c>
      <c r="H23" s="475" t="str">
        <f t="shared" si="0"/>
        <v>рублей</v>
      </c>
      <c r="I23" s="456"/>
      <c r="J23" s="456"/>
      <c r="K23" s="456"/>
      <c r="L23" s="482"/>
      <c r="R23" s="482"/>
      <c r="Y23" s="29" t="s">
        <v>720</v>
      </c>
      <c r="AB23" s="2"/>
    </row>
    <row r="24" spans="2:29" ht="27" customHeight="1" thickBot="1">
      <c r="C24" s="877" t="s">
        <v>75</v>
      </c>
      <c r="D24" s="878"/>
      <c r="E24" s="878"/>
      <c r="F24" s="879"/>
      <c r="G24" s="486">
        <f>G22/G23</f>
        <v>202.1769424880419</v>
      </c>
      <c r="H24" s="475" t="s">
        <v>76</v>
      </c>
      <c r="I24" s="456"/>
      <c r="J24" s="456"/>
      <c r="K24" s="456"/>
      <c r="L24" s="482"/>
      <c r="N24" s="487">
        <f>ROUND(J41,0)</f>
        <v>0</v>
      </c>
      <c r="O24" s="488" t="s">
        <v>70</v>
      </c>
      <c r="P24" s="489"/>
      <c r="Q24" s="490">
        <f>ROUND(K41,1)</f>
        <v>0</v>
      </c>
      <c r="R24" s="491" t="s">
        <v>70</v>
      </c>
      <c r="S24" s="456"/>
      <c r="AB24" s="2"/>
      <c r="AC24" s="29" t="s">
        <v>720</v>
      </c>
    </row>
    <row r="25" spans="2:29" ht="27" customHeight="1" thickBot="1">
      <c r="C25" s="877" t="s">
        <v>77</v>
      </c>
      <c r="D25" s="878"/>
      <c r="E25" s="878"/>
      <c r="F25" s="879"/>
      <c r="G25" s="485">
        <v>18</v>
      </c>
      <c r="H25" s="475" t="s">
        <v>76</v>
      </c>
      <c r="I25" s="456"/>
      <c r="J25" s="456"/>
      <c r="K25" s="456"/>
      <c r="L25" s="456"/>
      <c r="M25" s="874" t="s">
        <v>78</v>
      </c>
      <c r="N25" s="878"/>
      <c r="O25" s="878"/>
      <c r="P25" s="891"/>
      <c r="Q25" s="492">
        <f>G26</f>
        <v>1098</v>
      </c>
      <c r="R25" s="477" t="s">
        <v>79</v>
      </c>
      <c r="Y25" s="29" t="s">
        <v>699</v>
      </c>
      <c r="AB25" s="2"/>
    </row>
    <row r="26" spans="2:29" ht="27" customHeight="1">
      <c r="C26" s="877" t="s">
        <v>80</v>
      </c>
      <c r="D26" s="878"/>
      <c r="E26" s="878"/>
      <c r="F26" s="879"/>
      <c r="G26" s="486">
        <f>G25*Q18</f>
        <v>1098</v>
      </c>
      <c r="H26" s="475" t="s">
        <v>76</v>
      </c>
      <c r="I26" s="456"/>
      <c r="K26" s="493"/>
      <c r="L26" s="494"/>
      <c r="M26" s="880" t="s">
        <v>81</v>
      </c>
      <c r="N26" s="878"/>
      <c r="O26" s="878"/>
      <c r="P26" s="885"/>
      <c r="Q26" s="474">
        <f>G29</f>
        <v>976.69383450717487</v>
      </c>
      <c r="R26" s="477" t="s">
        <v>79</v>
      </c>
      <c r="Y26" s="29" t="s">
        <v>700</v>
      </c>
      <c r="AB26" s="2"/>
      <c r="AC26" s="29" t="s">
        <v>699</v>
      </c>
    </row>
    <row r="27" spans="2:29" ht="27" customHeight="1">
      <c r="C27" s="871" t="s">
        <v>82</v>
      </c>
      <c r="D27" s="872"/>
      <c r="E27" s="872"/>
      <c r="F27" s="873"/>
      <c r="G27" s="495">
        <f>(G25*Q18)-G24</f>
        <v>895.82305751195804</v>
      </c>
      <c r="H27" s="484" t="s">
        <v>76</v>
      </c>
      <c r="I27" s="456"/>
      <c r="L27" s="494"/>
      <c r="M27" s="884" t="s">
        <v>83</v>
      </c>
      <c r="N27" s="882"/>
      <c r="O27" s="882"/>
      <c r="P27" s="886"/>
      <c r="Q27" s="496">
        <f>G30</f>
        <v>8051.9999999999991</v>
      </c>
      <c r="R27" s="481" t="str">
        <f>IF($S$7&lt;133,"рублей","гривен")</f>
        <v>рублей</v>
      </c>
      <c r="Y27" s="29" t="s">
        <v>701</v>
      </c>
      <c r="AB27" s="2"/>
      <c r="AC27" s="29" t="s">
        <v>700</v>
      </c>
    </row>
    <row r="28" spans="2:29" ht="27" customHeight="1">
      <c r="C28" s="871" t="s">
        <v>84</v>
      </c>
      <c r="D28" s="872"/>
      <c r="E28" s="872"/>
      <c r="F28" s="873"/>
      <c r="G28" s="495">
        <f>G24*0.4</f>
        <v>80.870776995216772</v>
      </c>
      <c r="H28" s="484" t="s">
        <v>76</v>
      </c>
      <c r="I28" s="456"/>
      <c r="L28" s="494"/>
      <c r="M28" s="874" t="str">
        <f>IF(S5=2,"Количество проставок","")</f>
        <v/>
      </c>
      <c r="N28" s="875"/>
      <c r="O28" s="875"/>
      <c r="P28" s="876"/>
      <c r="Q28" s="492" t="str">
        <f>IF(S5=2,Q29/2,"")</f>
        <v/>
      </c>
      <c r="R28" s="473" t="str">
        <f>IF(S5=2,"штук","")</f>
        <v/>
      </c>
      <c r="Y28" s="29" t="s">
        <v>702</v>
      </c>
      <c r="AB28" s="2"/>
      <c r="AC28" s="29" t="s">
        <v>701</v>
      </c>
    </row>
    <row r="29" spans="2:29" ht="27" customHeight="1">
      <c r="C29" s="877" t="s">
        <v>85</v>
      </c>
      <c r="D29" s="878"/>
      <c r="E29" s="878"/>
      <c r="F29" s="879"/>
      <c r="G29" s="486">
        <f>G28+G27</f>
        <v>976.69383450717487</v>
      </c>
      <c r="H29" s="475" t="s">
        <v>76</v>
      </c>
      <c r="I29" s="456"/>
      <c r="L29" s="494"/>
      <c r="M29" s="880" t="s">
        <v>86</v>
      </c>
      <c r="N29" s="878"/>
      <c r="O29" s="878"/>
      <c r="P29" s="879"/>
      <c r="Q29" s="474">
        <f>INDEX(скобы2,$S$4)</f>
        <v>0</v>
      </c>
      <c r="R29" s="477" t="s">
        <v>65</v>
      </c>
      <c r="Y29" s="29" t="s">
        <v>704</v>
      </c>
      <c r="AB29" s="2"/>
      <c r="AC29" s="29" t="s">
        <v>702</v>
      </c>
    </row>
    <row r="30" spans="2:29" ht="27" customHeight="1">
      <c r="C30" s="881" t="s">
        <v>87</v>
      </c>
      <c r="D30" s="882"/>
      <c r="E30" s="882"/>
      <c r="F30" s="883"/>
      <c r="G30" s="497">
        <f>G22-(G28*G23)</f>
        <v>8051.9999999999991</v>
      </c>
      <c r="H30" s="498" t="str">
        <f>IF($S$7&lt;133,"рублей","гривен")</f>
        <v>рублей</v>
      </c>
      <c r="I30" s="456"/>
      <c r="J30" s="499"/>
      <c r="K30" s="499"/>
      <c r="L30" s="494"/>
      <c r="M30" s="884" t="s">
        <v>88</v>
      </c>
      <c r="N30" s="882"/>
      <c r="O30" s="882"/>
      <c r="P30" s="883"/>
      <c r="Q30" s="496">
        <f>Q18</f>
        <v>61</v>
      </c>
      <c r="R30" s="481" t="s">
        <v>65</v>
      </c>
      <c r="Y30" s="29" t="s">
        <v>703</v>
      </c>
      <c r="AB30" s="2"/>
      <c r="AC30" s="29" t="s">
        <v>704</v>
      </c>
    </row>
    <row r="31" spans="2:29" ht="27" customHeight="1" thickBot="1">
      <c r="C31" s="456"/>
      <c r="D31" s="456"/>
      <c r="E31" s="456"/>
      <c r="F31" s="456"/>
      <c r="G31" s="456"/>
      <c r="H31" s="456"/>
      <c r="I31" s="456"/>
      <c r="L31" s="494"/>
      <c r="M31" s="456"/>
      <c r="N31" s="456"/>
      <c r="O31" s="456"/>
      <c r="P31" s="456"/>
      <c r="Q31" s="456"/>
      <c r="R31" s="500"/>
      <c r="Y31" s="29" t="s">
        <v>705</v>
      </c>
      <c r="AB31" s="2"/>
      <c r="AC31" s="29" t="s">
        <v>703</v>
      </c>
    </row>
    <row r="32" spans="2:29" ht="17.5" customHeight="1" thickBot="1">
      <c r="C32" s="456"/>
      <c r="D32" s="887"/>
      <c r="E32" s="888"/>
      <c r="F32" s="889" t="s">
        <v>89</v>
      </c>
      <c r="G32" s="890"/>
      <c r="H32" s="456"/>
      <c r="I32" s="500"/>
      <c r="Q32" s="456"/>
      <c r="R32" s="500"/>
      <c r="AB32" s="2"/>
      <c r="AC32" s="29" t="s">
        <v>705</v>
      </c>
    </row>
    <row r="33" spans="2:29" ht="17.5" customHeight="1" thickBot="1">
      <c r="C33" s="456"/>
      <c r="D33" s="501" t="s">
        <v>90</v>
      </c>
      <c r="E33" s="501" t="s">
        <v>91</v>
      </c>
      <c r="F33" s="502" t="s">
        <v>92</v>
      </c>
      <c r="G33" s="502" t="s">
        <v>93</v>
      </c>
      <c r="H33" s="502" t="s">
        <v>94</v>
      </c>
      <c r="I33" s="502" t="s">
        <v>95</v>
      </c>
      <c r="J33" s="502" t="s">
        <v>96</v>
      </c>
      <c r="K33" s="502" t="s">
        <v>97</v>
      </c>
      <c r="L33" s="502" t="s">
        <v>98</v>
      </c>
      <c r="M33" s="502" t="s">
        <v>99</v>
      </c>
      <c r="N33" s="29" t="s">
        <v>100</v>
      </c>
      <c r="O33" s="502" t="s">
        <v>101</v>
      </c>
      <c r="P33" s="502" t="s">
        <v>102</v>
      </c>
      <c r="Q33" s="503" t="s">
        <v>103</v>
      </c>
      <c r="R33" s="504" t="s">
        <v>104</v>
      </c>
      <c r="S33" s="502" t="s">
        <v>105</v>
      </c>
      <c r="T33" s="502"/>
      <c r="Y33" s="29" t="s">
        <v>602</v>
      </c>
      <c r="AB33" s="2"/>
    </row>
    <row r="34" spans="2:29" ht="17.5" customHeight="1" thickBot="1">
      <c r="B34" s="471"/>
      <c r="C34" s="471" t="s">
        <v>106</v>
      </c>
      <c r="D34" s="505">
        <v>106</v>
      </c>
      <c r="E34" s="506">
        <f t="shared" ref="E34:E40" si="1">IF($S$5=1,F34+G34,F34+G34+S34)</f>
        <v>481.2</v>
      </c>
      <c r="F34" s="507">
        <f t="shared" ref="F34:F40" si="2">IF($S$5=1,D34*1.2,D34*1.53)</f>
        <v>127.19999999999999</v>
      </c>
      <c r="G34" s="507">
        <f>I34*0.3</f>
        <v>354</v>
      </c>
      <c r="H34" s="508">
        <f t="shared" ref="H34:H40" si="3">F34+G34</f>
        <v>481.2</v>
      </c>
      <c r="I34" s="507">
        <v>1180</v>
      </c>
      <c r="J34" s="507">
        <f>(I34-(K34*10))/96</f>
        <v>11.67824074074074</v>
      </c>
      <c r="K34" s="509">
        <f>D34/18</f>
        <v>5.8888888888888893</v>
      </c>
      <c r="L34" s="507">
        <f>J34+K34</f>
        <v>17.56712962962963</v>
      </c>
      <c r="M34" s="507">
        <f>ROUNDUP(L34,0)</f>
        <v>18</v>
      </c>
      <c r="N34" s="29">
        <f>I34/2</f>
        <v>590</v>
      </c>
      <c r="O34" s="507">
        <f>(I34*85)+(D34*300)</f>
        <v>132100</v>
      </c>
      <c r="P34" s="510">
        <f>(I34*30)+(D34*100)</f>
        <v>46000</v>
      </c>
      <c r="Q34" s="510">
        <f>I34</f>
        <v>1180</v>
      </c>
      <c r="R34" s="511" t="s">
        <v>107</v>
      </c>
      <c r="S34" s="507">
        <f>0.16*N34</f>
        <v>94.4</v>
      </c>
      <c r="AB34" s="2"/>
      <c r="AC34" s="29" t="s">
        <v>602</v>
      </c>
    </row>
    <row r="35" spans="2:29" ht="17.5" customHeight="1" thickBot="1">
      <c r="B35" s="471"/>
      <c r="C35" s="471" t="s">
        <v>108</v>
      </c>
      <c r="D35" s="512">
        <v>111</v>
      </c>
      <c r="E35" s="506">
        <f t="shared" si="1"/>
        <v>523.20000000000005</v>
      </c>
      <c r="F35" s="507">
        <f t="shared" si="2"/>
        <v>133.19999999999999</v>
      </c>
      <c r="G35" s="507">
        <f t="shared" ref="G35:G40" si="4">I35*0.3</f>
        <v>390</v>
      </c>
      <c r="H35" s="508">
        <f t="shared" si="3"/>
        <v>523.20000000000005</v>
      </c>
      <c r="I35" s="508">
        <v>1300</v>
      </c>
      <c r="J35" s="507">
        <f t="shared" ref="J35:J40" si="5">(I35-(K35*10))/96</f>
        <v>12.899305555555555</v>
      </c>
      <c r="K35" s="509">
        <f t="shared" ref="K35:K40" si="6">D35/18</f>
        <v>6.166666666666667</v>
      </c>
      <c r="L35" s="508">
        <f t="shared" ref="L35:L41" si="7">J35+K35</f>
        <v>19.065972222222221</v>
      </c>
      <c r="M35" s="508">
        <f t="shared" ref="M35:M41" si="8">ROUNDUP(L35,0)</f>
        <v>20</v>
      </c>
      <c r="N35" s="29">
        <f t="shared" ref="N35:N40" si="9">I35/2</f>
        <v>650</v>
      </c>
      <c r="O35" s="508">
        <f t="shared" ref="O35:O40" si="10">(I35*85)+(D35*300)</f>
        <v>143800</v>
      </c>
      <c r="P35" s="513">
        <f t="shared" ref="P35:P40" si="11">(I35*30)+(D35*100)</f>
        <v>50100</v>
      </c>
      <c r="Q35" s="510">
        <f t="shared" ref="Q35:Q40" si="12">I35</f>
        <v>1300</v>
      </c>
      <c r="R35" s="514" t="s">
        <v>109</v>
      </c>
      <c r="S35" s="508">
        <f t="shared" ref="S35:S40" si="13">0.16*N35</f>
        <v>104</v>
      </c>
      <c r="Y35" s="29" t="s">
        <v>706</v>
      </c>
      <c r="AB35" s="2"/>
    </row>
    <row r="36" spans="2:29" ht="17.5" customHeight="1" thickBot="1">
      <c r="B36" s="471"/>
      <c r="C36" s="471" t="s">
        <v>110</v>
      </c>
      <c r="D36" s="512">
        <v>91</v>
      </c>
      <c r="E36" s="506">
        <f t="shared" si="1"/>
        <v>424.2</v>
      </c>
      <c r="F36" s="507">
        <f t="shared" si="2"/>
        <v>109.2</v>
      </c>
      <c r="G36" s="507">
        <f t="shared" si="4"/>
        <v>315</v>
      </c>
      <c r="H36" s="508">
        <f t="shared" si="3"/>
        <v>424.2</v>
      </c>
      <c r="I36" s="508">
        <v>1050</v>
      </c>
      <c r="J36" s="507">
        <f t="shared" si="5"/>
        <v>10.41087962962963</v>
      </c>
      <c r="K36" s="509">
        <f t="shared" si="6"/>
        <v>5.0555555555555554</v>
      </c>
      <c r="L36" s="508">
        <f t="shared" si="7"/>
        <v>15.466435185185185</v>
      </c>
      <c r="M36" s="508">
        <f t="shared" si="8"/>
        <v>16</v>
      </c>
      <c r="N36" s="29">
        <f t="shared" si="9"/>
        <v>525</v>
      </c>
      <c r="O36" s="508">
        <f t="shared" si="10"/>
        <v>116550</v>
      </c>
      <c r="P36" s="513">
        <f t="shared" si="11"/>
        <v>40600</v>
      </c>
      <c r="Q36" s="510">
        <f t="shared" si="12"/>
        <v>1050</v>
      </c>
      <c r="R36" s="456"/>
      <c r="S36" s="508">
        <f t="shared" si="13"/>
        <v>84</v>
      </c>
      <c r="Y36" s="29" t="s">
        <v>707</v>
      </c>
      <c r="AB36" s="2"/>
      <c r="AC36" s="29" t="s">
        <v>2942</v>
      </c>
    </row>
    <row r="37" spans="2:29" ht="17.5" customHeight="1" thickBot="1">
      <c r="B37" s="471"/>
      <c r="C37" s="471" t="s">
        <v>111</v>
      </c>
      <c r="D37" s="512">
        <v>71</v>
      </c>
      <c r="E37" s="506">
        <f t="shared" si="1"/>
        <v>328.2</v>
      </c>
      <c r="F37" s="507">
        <f t="shared" si="2"/>
        <v>85.2</v>
      </c>
      <c r="G37" s="507">
        <f t="shared" si="4"/>
        <v>243</v>
      </c>
      <c r="H37" s="508">
        <f t="shared" si="3"/>
        <v>328.2</v>
      </c>
      <c r="I37" s="508">
        <v>810</v>
      </c>
      <c r="J37" s="507">
        <f t="shared" si="5"/>
        <v>8.0266203703703702</v>
      </c>
      <c r="K37" s="509">
        <f t="shared" si="6"/>
        <v>3.9444444444444446</v>
      </c>
      <c r="L37" s="508">
        <f t="shared" si="7"/>
        <v>11.971064814814815</v>
      </c>
      <c r="M37" s="508">
        <f t="shared" si="8"/>
        <v>12</v>
      </c>
      <c r="N37" s="29">
        <f t="shared" si="9"/>
        <v>405</v>
      </c>
      <c r="O37" s="508">
        <f t="shared" si="10"/>
        <v>90150</v>
      </c>
      <c r="P37" s="513">
        <f t="shared" si="11"/>
        <v>31400</v>
      </c>
      <c r="Q37" s="510">
        <f t="shared" si="12"/>
        <v>810</v>
      </c>
      <c r="R37" s="456"/>
      <c r="S37" s="508">
        <f t="shared" si="13"/>
        <v>64.8</v>
      </c>
      <c r="Y37" s="29" t="s">
        <v>708</v>
      </c>
      <c r="AB37" s="2"/>
      <c r="AC37" s="29" t="s">
        <v>2943</v>
      </c>
    </row>
    <row r="38" spans="2:29" ht="17.5" customHeight="1" thickBot="1">
      <c r="B38" s="471"/>
      <c r="C38" s="471" t="s">
        <v>112</v>
      </c>
      <c r="D38" s="512">
        <v>61</v>
      </c>
      <c r="E38" s="506">
        <f t="shared" si="1"/>
        <v>283.2</v>
      </c>
      <c r="F38" s="507">
        <f t="shared" si="2"/>
        <v>73.2</v>
      </c>
      <c r="G38" s="507">
        <f t="shared" si="4"/>
        <v>210</v>
      </c>
      <c r="H38" s="508">
        <f t="shared" si="3"/>
        <v>283.2</v>
      </c>
      <c r="I38" s="508">
        <v>700</v>
      </c>
      <c r="J38" s="507">
        <f t="shared" si="5"/>
        <v>6.9386574074074074</v>
      </c>
      <c r="K38" s="509">
        <f t="shared" si="6"/>
        <v>3.3888888888888888</v>
      </c>
      <c r="L38" s="508">
        <f t="shared" si="7"/>
        <v>10.327546296296296</v>
      </c>
      <c r="M38" s="508">
        <f t="shared" si="8"/>
        <v>11</v>
      </c>
      <c r="N38" s="29">
        <f t="shared" si="9"/>
        <v>350</v>
      </c>
      <c r="O38" s="508">
        <f t="shared" si="10"/>
        <v>77800</v>
      </c>
      <c r="P38" s="513">
        <f t="shared" si="11"/>
        <v>27100</v>
      </c>
      <c r="Q38" s="510">
        <f t="shared" si="12"/>
        <v>700</v>
      </c>
      <c r="R38" s="456"/>
      <c r="S38" s="508">
        <f t="shared" si="13"/>
        <v>56</v>
      </c>
      <c r="Y38" s="29" t="s">
        <v>709</v>
      </c>
      <c r="AB38" s="2"/>
      <c r="AC38" s="29" t="s">
        <v>2944</v>
      </c>
    </row>
    <row r="39" spans="2:29" ht="17.5" customHeight="1" thickBot="1">
      <c r="B39" s="471"/>
      <c r="C39" s="471" t="s">
        <v>113</v>
      </c>
      <c r="D39" s="512">
        <v>46</v>
      </c>
      <c r="E39" s="506">
        <f t="shared" si="1"/>
        <v>211.2</v>
      </c>
      <c r="F39" s="507">
        <f t="shared" si="2"/>
        <v>55.199999999999996</v>
      </c>
      <c r="G39" s="507">
        <f t="shared" si="4"/>
        <v>156</v>
      </c>
      <c r="H39" s="508">
        <f t="shared" si="3"/>
        <v>211.2</v>
      </c>
      <c r="I39" s="508">
        <v>520</v>
      </c>
      <c r="J39" s="507">
        <f t="shared" si="5"/>
        <v>5.1504629629629628</v>
      </c>
      <c r="K39" s="509">
        <f t="shared" si="6"/>
        <v>2.5555555555555554</v>
      </c>
      <c r="L39" s="508">
        <f t="shared" si="7"/>
        <v>7.7060185185185182</v>
      </c>
      <c r="M39" s="508">
        <f t="shared" si="8"/>
        <v>8</v>
      </c>
      <c r="N39" s="29">
        <f t="shared" si="9"/>
        <v>260</v>
      </c>
      <c r="O39" s="508">
        <f t="shared" si="10"/>
        <v>58000</v>
      </c>
      <c r="P39" s="513">
        <f t="shared" si="11"/>
        <v>20200</v>
      </c>
      <c r="Q39" s="510">
        <f t="shared" si="12"/>
        <v>520</v>
      </c>
      <c r="R39" s="456"/>
      <c r="S39" s="508">
        <f t="shared" si="13"/>
        <v>41.6</v>
      </c>
      <c r="Y39" s="29" t="s">
        <v>710</v>
      </c>
      <c r="AB39" s="2"/>
      <c r="AC39" s="29" t="s">
        <v>2945</v>
      </c>
    </row>
    <row r="40" spans="2:29" ht="17.5" customHeight="1" thickBot="1">
      <c r="B40" s="471"/>
      <c r="C40" s="471" t="s">
        <v>114</v>
      </c>
      <c r="D40" s="515">
        <v>19</v>
      </c>
      <c r="E40" s="506">
        <f t="shared" si="1"/>
        <v>82.8</v>
      </c>
      <c r="F40" s="507">
        <f t="shared" si="2"/>
        <v>22.8</v>
      </c>
      <c r="G40" s="507">
        <f t="shared" si="4"/>
        <v>60</v>
      </c>
      <c r="H40" s="516">
        <f t="shared" si="3"/>
        <v>82.8</v>
      </c>
      <c r="I40" s="516">
        <v>200</v>
      </c>
      <c r="J40" s="507">
        <f t="shared" si="5"/>
        <v>1.9733796296296298</v>
      </c>
      <c r="K40" s="509">
        <f t="shared" si="6"/>
        <v>1.0555555555555556</v>
      </c>
      <c r="L40" s="516">
        <f t="shared" si="7"/>
        <v>3.0289351851851851</v>
      </c>
      <c r="M40" s="516">
        <f>ROUND(L40,0)</f>
        <v>3</v>
      </c>
      <c r="N40" s="29">
        <f t="shared" si="9"/>
        <v>100</v>
      </c>
      <c r="O40" s="516">
        <f t="shared" si="10"/>
        <v>22700</v>
      </c>
      <c r="P40" s="517">
        <f t="shared" si="11"/>
        <v>7900</v>
      </c>
      <c r="Q40" s="510">
        <f t="shared" si="12"/>
        <v>200</v>
      </c>
      <c r="R40" s="456"/>
      <c r="S40" s="516">
        <f t="shared" si="13"/>
        <v>16</v>
      </c>
      <c r="Y40" s="518" t="s">
        <v>711</v>
      </c>
      <c r="AB40" s="2"/>
      <c r="AC40" s="29" t="s">
        <v>2946</v>
      </c>
    </row>
    <row r="41" spans="2:29" ht="14.5">
      <c r="C41" s="456"/>
      <c r="D41" s="456"/>
      <c r="E41" s="456"/>
      <c r="F41" s="456"/>
      <c r="G41" s="456"/>
      <c r="H41" s="519"/>
      <c r="I41" s="500"/>
      <c r="J41" s="29">
        <f>INDEX(ящ.скоб,S4)</f>
        <v>0</v>
      </c>
      <c r="K41" s="29">
        <f>INDEX(ящ.труб,S4)</f>
        <v>0</v>
      </c>
      <c r="L41" s="29">
        <f t="shared" si="7"/>
        <v>0</v>
      </c>
      <c r="M41" s="29">
        <f t="shared" si="8"/>
        <v>0</v>
      </c>
      <c r="N41" s="29" t="s">
        <v>115</v>
      </c>
      <c r="O41" s="29">
        <f>INDEX(руб,S4)</f>
        <v>0</v>
      </c>
      <c r="P41" s="29">
        <f>INDEX(грн,S4)</f>
        <v>0</v>
      </c>
      <c r="Y41" s="518" t="s">
        <v>712</v>
      </c>
      <c r="AB41" s="2"/>
      <c r="AC41" s="29" t="s">
        <v>2947</v>
      </c>
    </row>
    <row r="42" spans="2:29" ht="14.5">
      <c r="C42" s="520"/>
      <c r="D42" s="456"/>
      <c r="E42" s="456"/>
      <c r="F42" s="456"/>
      <c r="G42" s="456"/>
      <c r="H42" s="456"/>
      <c r="I42" s="456"/>
      <c r="J42" s="456"/>
      <c r="K42" s="456"/>
      <c r="Y42" s="518" t="s">
        <v>713</v>
      </c>
      <c r="AB42" s="2"/>
      <c r="AC42" s="29" t="s">
        <v>2948</v>
      </c>
    </row>
    <row r="43" spans="2:29" ht="14.5">
      <c r="C43" s="520"/>
      <c r="D43" s="456"/>
      <c r="E43" s="456"/>
      <c r="F43" s="456"/>
      <c r="G43" s="456"/>
      <c r="H43" s="456"/>
      <c r="I43" s="456"/>
      <c r="J43" s="456"/>
      <c r="K43" s="456"/>
      <c r="Y43" s="518" t="s">
        <v>714</v>
      </c>
      <c r="AB43" s="2"/>
      <c r="AC43" s="29" t="s">
        <v>2949</v>
      </c>
    </row>
    <row r="44" spans="2:29" ht="14.5">
      <c r="C44" s="520"/>
      <c r="D44" s="456"/>
      <c r="E44" s="456"/>
      <c r="F44" s="456"/>
      <c r="G44" s="456"/>
      <c r="H44" s="456"/>
      <c r="I44" s="456"/>
      <c r="J44" s="456"/>
      <c r="K44" s="456"/>
      <c r="Y44" s="518" t="s">
        <v>715</v>
      </c>
      <c r="AB44" s="2"/>
      <c r="AC44" s="29" t="s">
        <v>718</v>
      </c>
    </row>
    <row r="45" spans="2:29" ht="14.5">
      <c r="C45" s="520"/>
      <c r="D45" s="456"/>
      <c r="E45" s="456"/>
      <c r="F45" s="456"/>
      <c r="G45" s="456"/>
      <c r="H45" s="456"/>
      <c r="I45" s="456"/>
      <c r="J45" s="456"/>
      <c r="K45" s="456"/>
      <c r="Y45" s="518" t="s">
        <v>716</v>
      </c>
      <c r="AB45" s="2"/>
      <c r="AC45" s="29" t="s">
        <v>719</v>
      </c>
    </row>
    <row r="46" spans="2:29" ht="14.5">
      <c r="C46" s="520"/>
      <c r="D46" s="456"/>
      <c r="E46" s="456"/>
      <c r="F46" s="456"/>
      <c r="G46" s="456"/>
      <c r="H46" s="456"/>
      <c r="I46" s="456"/>
      <c r="J46" s="456"/>
      <c r="K46" s="456"/>
      <c r="Y46" s="518" t="s">
        <v>717</v>
      </c>
      <c r="AB46" s="2"/>
      <c r="AC46" s="29" t="s">
        <v>720</v>
      </c>
    </row>
    <row r="47" spans="2:29" ht="14.5">
      <c r="C47" s="520"/>
      <c r="D47" s="456"/>
      <c r="E47" s="456"/>
      <c r="F47" s="456"/>
      <c r="G47" s="456"/>
      <c r="H47" s="456"/>
      <c r="I47" s="456"/>
      <c r="J47" s="456"/>
      <c r="K47" s="456"/>
      <c r="Y47" s="518" t="s">
        <v>621</v>
      </c>
      <c r="AB47" s="2"/>
    </row>
    <row r="48" spans="2:29" ht="14.5">
      <c r="C48" s="520"/>
      <c r="D48" s="456"/>
      <c r="E48" s="456"/>
      <c r="F48" s="456"/>
      <c r="G48" s="456"/>
      <c r="H48" s="456"/>
      <c r="I48" s="456"/>
      <c r="J48" s="456"/>
      <c r="K48" s="456"/>
      <c r="Y48" s="518" t="s">
        <v>718</v>
      </c>
      <c r="AB48" s="2"/>
      <c r="AC48" s="29" t="s">
        <v>721</v>
      </c>
    </row>
    <row r="49" spans="3:29" ht="14.5">
      <c r="C49" s="520"/>
      <c r="D49" s="456"/>
      <c r="E49" s="456"/>
      <c r="F49" s="456"/>
      <c r="G49" s="456"/>
      <c r="H49" s="456"/>
      <c r="I49" s="456"/>
      <c r="J49" s="456"/>
      <c r="K49" s="456"/>
      <c r="Y49" s="518" t="s">
        <v>719</v>
      </c>
      <c r="AB49" s="2"/>
    </row>
    <row r="50" spans="3:29" ht="14.5">
      <c r="C50" s="520"/>
      <c r="D50" s="456"/>
      <c r="E50" s="456"/>
      <c r="F50" s="456"/>
      <c r="G50" s="456"/>
      <c r="H50" s="456"/>
      <c r="I50" s="456"/>
      <c r="J50" s="456"/>
      <c r="K50" s="456"/>
      <c r="Y50" s="518" t="s">
        <v>720</v>
      </c>
      <c r="AB50" s="2"/>
      <c r="AC50" s="29" t="s">
        <v>722</v>
      </c>
    </row>
    <row r="51" spans="3:29" ht="14.5">
      <c r="C51" s="520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519"/>
      <c r="R51" s="500"/>
      <c r="Y51" s="518"/>
      <c r="AB51" s="2"/>
      <c r="AC51" s="29" t="s">
        <v>723</v>
      </c>
    </row>
    <row r="52" spans="3:29" ht="14.5">
      <c r="C52" s="520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500"/>
      <c r="Y52" s="518" t="s">
        <v>721</v>
      </c>
      <c r="AB52" s="2"/>
      <c r="AC52" s="29" t="s">
        <v>724</v>
      </c>
    </row>
    <row r="53" spans="3:29" ht="14.5">
      <c r="C53" s="520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  <c r="R53" s="500"/>
      <c r="S53" s="29" t="s">
        <v>618</v>
      </c>
      <c r="T53" s="29">
        <f>W58</f>
        <v>66.377499999999998</v>
      </c>
      <c r="Y53" s="518"/>
      <c r="AB53" s="2"/>
      <c r="AC53" s="29" t="s">
        <v>725</v>
      </c>
    </row>
    <row r="54" spans="3:29" ht="14.5">
      <c r="C54" s="520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500"/>
      <c r="S54" s="29" t="s">
        <v>2937</v>
      </c>
      <c r="T54" s="29">
        <f>AD97</f>
        <v>25.201499999999999</v>
      </c>
      <c r="Y54" s="518" t="s">
        <v>722</v>
      </c>
      <c r="AB54" s="2"/>
      <c r="AC54" s="29" t="s">
        <v>726</v>
      </c>
    </row>
    <row r="55" spans="3:29" ht="14.5">
      <c r="C55" s="520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500"/>
      <c r="S55" s="29" t="s">
        <v>2939</v>
      </c>
      <c r="T55" s="29">
        <v>1</v>
      </c>
      <c r="Y55" s="518" t="s">
        <v>723</v>
      </c>
      <c r="AB55" s="2"/>
      <c r="AC55" s="29" t="s">
        <v>727</v>
      </c>
    </row>
    <row r="56" spans="3:29" ht="14.5">
      <c r="C56" s="520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500"/>
      <c r="S56" s="29" t="s">
        <v>2938</v>
      </c>
      <c r="T56" s="29">
        <f>INDEX(T53:T55,Заявка!C98,1)</f>
        <v>66.377499999999998</v>
      </c>
      <c r="Y56" s="518" t="s">
        <v>724</v>
      </c>
      <c r="AB56" s="2"/>
      <c r="AC56" s="29" t="s">
        <v>728</v>
      </c>
    </row>
    <row r="57" spans="3:29" ht="14.5">
      <c r="C57" s="520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500"/>
      <c r="Y57" s="518" t="s">
        <v>725</v>
      </c>
      <c r="Z57" s="518"/>
      <c r="AA57" s="518"/>
      <c r="AB57" s="2"/>
      <c r="AC57" s="29" t="s">
        <v>729</v>
      </c>
    </row>
    <row r="58" spans="3:29" ht="15">
      <c r="C58" s="520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500"/>
      <c r="W58" s="521">
        <f>Z108</f>
        <v>66.377499999999998</v>
      </c>
      <c r="Y58" s="518" t="s">
        <v>726</v>
      </c>
      <c r="AB58" s="2"/>
      <c r="AC58" s="29" t="s">
        <v>730</v>
      </c>
    </row>
    <row r="59" spans="3:29" ht="14.5">
      <c r="C59" s="520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  <c r="R59" s="500"/>
      <c r="Y59" s="518" t="s">
        <v>727</v>
      </c>
      <c r="AB59" s="2"/>
      <c r="AC59" s="29" t="s">
        <v>731</v>
      </c>
    </row>
    <row r="60" spans="3:29" ht="14.5">
      <c r="C60" s="520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500"/>
      <c r="Y60" s="518" t="s">
        <v>728</v>
      </c>
      <c r="AB60" s="2"/>
      <c r="AC60" s="29" t="s">
        <v>732</v>
      </c>
    </row>
    <row r="61" spans="3:29" ht="14.5">
      <c r="C61" s="520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  <c r="R61" s="500"/>
      <c r="Y61" s="518" t="s">
        <v>729</v>
      </c>
      <c r="AB61" s="2"/>
    </row>
    <row r="62" spans="3:29" ht="14.5">
      <c r="C62" s="520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  <c r="R62" s="500"/>
      <c r="Y62" s="518" t="s">
        <v>730</v>
      </c>
      <c r="Z62" s="518"/>
      <c r="AA62" s="518"/>
      <c r="AB62" s="2"/>
      <c r="AC62" s="29" t="s">
        <v>733</v>
      </c>
    </row>
    <row r="63" spans="3:29" ht="14.5">
      <c r="C63" s="520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500"/>
      <c r="T63" s="29" t="s">
        <v>779</v>
      </c>
      <c r="Y63" s="518" t="s">
        <v>731</v>
      </c>
      <c r="AB63" s="2"/>
    </row>
    <row r="64" spans="3:29" ht="15">
      <c r="C64" s="520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500"/>
      <c r="T64" s="521" t="e">
        <f>RIGHT(X69, LEN(X69)-6)</f>
        <v>#VALUE!</v>
      </c>
      <c r="Y64" s="518" t="s">
        <v>732</v>
      </c>
      <c r="AB64" s="2"/>
      <c r="AC64" s="29" t="s">
        <v>734</v>
      </c>
    </row>
    <row r="65" spans="3:29" ht="14.5">
      <c r="C65" s="520"/>
      <c r="D65" s="456"/>
      <c r="E65" s="456"/>
      <c r="F65" s="456"/>
      <c r="G65" s="456"/>
      <c r="H65" s="456"/>
      <c r="I65" s="456"/>
      <c r="J65" s="456"/>
      <c r="K65" s="456"/>
      <c r="L65" s="456"/>
      <c r="M65" s="456"/>
      <c r="N65" s="456"/>
      <c r="O65" s="456"/>
      <c r="P65" s="456"/>
      <c r="Q65" s="456"/>
      <c r="R65" s="500"/>
      <c r="Y65" s="518"/>
      <c r="Z65" s="518"/>
      <c r="AB65" s="2"/>
      <c r="AC65" s="29" t="s">
        <v>735</v>
      </c>
    </row>
    <row r="66" spans="3:29" ht="14.5">
      <c r="C66" s="520"/>
      <c r="D66" s="456"/>
      <c r="E66" s="456"/>
      <c r="F66" s="456"/>
      <c r="G66" s="456"/>
      <c r="H66" s="456"/>
      <c r="I66" s="456"/>
      <c r="J66" s="456"/>
      <c r="K66" s="456"/>
      <c r="L66" s="456"/>
      <c r="M66" s="456"/>
      <c r="N66" s="456"/>
      <c r="O66" s="456"/>
      <c r="P66" s="456"/>
      <c r="Q66" s="456"/>
      <c r="R66" s="500"/>
      <c r="Y66" s="518" t="s">
        <v>733</v>
      </c>
      <c r="Z66" s="522"/>
      <c r="AB66" s="2"/>
      <c r="AC66" s="29" t="s">
        <v>736</v>
      </c>
    </row>
    <row r="67" spans="3:29" ht="14.5">
      <c r="C67" s="520"/>
      <c r="D67" s="456"/>
      <c r="E67" s="456"/>
      <c r="F67" s="456"/>
      <c r="G67" s="456"/>
      <c r="H67" s="456"/>
      <c r="I67" s="456"/>
      <c r="J67" s="456"/>
      <c r="K67" s="456"/>
      <c r="L67" s="456"/>
      <c r="M67" s="456"/>
      <c r="N67" s="456"/>
      <c r="O67" s="456"/>
      <c r="P67" s="456"/>
      <c r="Q67" s="456"/>
      <c r="R67" s="500"/>
      <c r="Y67" s="518"/>
      <c r="AB67" s="2"/>
      <c r="AC67" s="29" t="s">
        <v>737</v>
      </c>
    </row>
    <row r="68" spans="3:29" ht="14.5">
      <c r="C68" s="520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500"/>
      <c r="Y68" s="518" t="s">
        <v>734</v>
      </c>
      <c r="Z68" s="522"/>
      <c r="AB68" s="2"/>
      <c r="AC68" s="29" t="s">
        <v>738</v>
      </c>
    </row>
    <row r="69" spans="3:29" ht="14.5">
      <c r="C69" s="520"/>
      <c r="D69" s="456"/>
      <c r="E69" s="456"/>
      <c r="F69" s="456"/>
      <c r="G69" s="456"/>
      <c r="H69" s="456"/>
      <c r="I69" s="456"/>
      <c r="J69" s="456"/>
      <c r="K69" s="456"/>
      <c r="L69" s="456"/>
      <c r="M69" s="456"/>
      <c r="N69" s="456"/>
      <c r="O69" s="456"/>
      <c r="P69" s="456"/>
      <c r="Q69" s="456"/>
      <c r="R69" s="500"/>
      <c r="Y69" s="518" t="s">
        <v>735</v>
      </c>
      <c r="Z69" s="522"/>
      <c r="AB69" s="2"/>
      <c r="AC69" s="29" t="s">
        <v>739</v>
      </c>
    </row>
    <row r="70" spans="3:29" ht="14.5">
      <c r="C70" s="520"/>
      <c r="D70" s="456"/>
      <c r="E70" s="456"/>
      <c r="F70" s="456"/>
      <c r="G70" s="456"/>
      <c r="H70" s="456"/>
      <c r="I70" s="456"/>
      <c r="J70" s="456"/>
      <c r="K70" s="456"/>
      <c r="L70" s="456"/>
      <c r="M70" s="456"/>
      <c r="N70" s="456"/>
      <c r="O70" s="456"/>
      <c r="P70" s="456"/>
      <c r="Q70" s="456"/>
      <c r="R70" s="500"/>
      <c r="Y70" s="518" t="s">
        <v>736</v>
      </c>
      <c r="Z70" s="518"/>
      <c r="AB70" s="2"/>
      <c r="AC70" s="29" t="s">
        <v>740</v>
      </c>
    </row>
    <row r="71" spans="3:29" ht="12.5" customHeight="1">
      <c r="C71" s="520"/>
      <c r="D71" s="456"/>
      <c r="E71" s="456"/>
      <c r="F71" s="456"/>
      <c r="G71" s="456"/>
      <c r="H71" s="456"/>
      <c r="I71" s="456"/>
      <c r="J71" s="456"/>
      <c r="K71" s="456"/>
      <c r="L71" s="870"/>
      <c r="M71" s="870"/>
      <c r="N71" s="456"/>
      <c r="O71" s="456"/>
      <c r="P71" s="456"/>
      <c r="Q71" s="456"/>
      <c r="R71" s="500"/>
      <c r="Y71" s="518" t="s">
        <v>737</v>
      </c>
      <c r="AB71" s="2"/>
      <c r="AC71" s="29" t="s">
        <v>741</v>
      </c>
    </row>
    <row r="72" spans="3:29" ht="12.5" customHeight="1">
      <c r="C72" s="520"/>
      <c r="D72" s="456"/>
      <c r="E72" s="456"/>
      <c r="F72" s="456"/>
      <c r="G72" s="456"/>
      <c r="H72" s="456"/>
      <c r="I72" s="456"/>
      <c r="J72" s="456"/>
      <c r="K72" s="456"/>
      <c r="L72" s="870"/>
      <c r="M72" s="870"/>
      <c r="N72" s="456"/>
      <c r="O72" s="456"/>
      <c r="P72" s="456"/>
      <c r="Q72" s="456"/>
      <c r="R72" s="500"/>
      <c r="Y72" s="518" t="s">
        <v>738</v>
      </c>
      <c r="AB72" s="2"/>
      <c r="AC72" s="29" t="s">
        <v>742</v>
      </c>
    </row>
    <row r="73" spans="3:29" ht="14.5">
      <c r="C73" s="520"/>
      <c r="D73" s="456"/>
      <c r="E73" s="456"/>
      <c r="F73" s="456"/>
      <c r="G73" s="456"/>
      <c r="H73" s="456"/>
      <c r="I73" s="456"/>
      <c r="J73" s="456"/>
      <c r="K73" s="456"/>
      <c r="L73" s="456"/>
      <c r="M73" s="456"/>
      <c r="N73" s="456"/>
      <c r="O73" s="456"/>
      <c r="P73" s="456"/>
      <c r="Q73" s="456"/>
      <c r="R73" s="500"/>
      <c r="Y73" s="518" t="s">
        <v>739</v>
      </c>
      <c r="AB73" s="2"/>
      <c r="AC73" s="29" t="s">
        <v>743</v>
      </c>
    </row>
    <row r="74" spans="3:29" ht="14.5">
      <c r="C74" s="520"/>
      <c r="D74" s="456"/>
      <c r="E74" s="456"/>
      <c r="F74" s="456"/>
      <c r="G74" s="456"/>
      <c r="H74" s="456"/>
      <c r="I74" s="456"/>
      <c r="J74" s="456"/>
      <c r="K74" s="456"/>
      <c r="L74" s="456"/>
      <c r="M74" s="456"/>
      <c r="N74" s="456"/>
      <c r="O74" s="456"/>
      <c r="P74" s="456"/>
      <c r="Q74" s="456"/>
      <c r="R74" s="500"/>
      <c r="Y74" s="518" t="s">
        <v>740</v>
      </c>
      <c r="AB74" s="2"/>
      <c r="AC74" s="29" t="s">
        <v>744</v>
      </c>
    </row>
    <row r="75" spans="3:29" ht="14.5">
      <c r="C75" s="520"/>
      <c r="D75" s="456"/>
      <c r="E75" s="456"/>
      <c r="F75" s="456"/>
      <c r="G75" s="456"/>
      <c r="H75" s="456"/>
      <c r="I75" s="456"/>
      <c r="J75" s="456"/>
      <c r="K75" s="456"/>
      <c r="L75" s="456"/>
      <c r="M75" s="456"/>
      <c r="N75" s="456"/>
      <c r="O75" s="456"/>
      <c r="P75" s="456"/>
      <c r="Q75" s="456"/>
      <c r="R75" s="500"/>
      <c r="Y75" s="518" t="s">
        <v>741</v>
      </c>
      <c r="AB75" s="2"/>
      <c r="AC75" s="29" t="s">
        <v>745</v>
      </c>
    </row>
    <row r="76" spans="3:29" ht="14.5">
      <c r="C76" s="520"/>
      <c r="D76" s="456"/>
      <c r="E76" s="456"/>
      <c r="F76" s="456"/>
      <c r="G76" s="456"/>
      <c r="H76" s="456"/>
      <c r="I76" s="456"/>
      <c r="J76" s="456"/>
      <c r="K76" s="456"/>
      <c r="L76" s="456"/>
      <c r="M76" s="456"/>
      <c r="N76" s="456"/>
      <c r="O76" s="456"/>
      <c r="P76" s="456"/>
      <c r="Q76" s="456"/>
      <c r="R76" s="500"/>
      <c r="Y76" s="518" t="s">
        <v>742</v>
      </c>
      <c r="AB76" s="2"/>
      <c r="AC76" s="29" t="s">
        <v>746</v>
      </c>
    </row>
    <row r="77" spans="3:29" ht="14.5">
      <c r="C77" s="523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5"/>
      <c r="Y77" s="518" t="s">
        <v>743</v>
      </c>
      <c r="AB77" s="2"/>
      <c r="AC77" s="29" t="s">
        <v>747</v>
      </c>
    </row>
    <row r="78" spans="3:29" ht="14.5">
      <c r="Y78" s="518" t="s">
        <v>744</v>
      </c>
      <c r="AB78" s="2"/>
      <c r="AC78" s="29" t="s">
        <v>748</v>
      </c>
    </row>
    <row r="79" spans="3:29" ht="14.5">
      <c r="Y79" s="518" t="s">
        <v>745</v>
      </c>
      <c r="AB79" s="2"/>
    </row>
    <row r="80" spans="3:29" ht="14.5">
      <c r="Y80" s="518" t="s">
        <v>746</v>
      </c>
      <c r="AB80" s="2"/>
      <c r="AC80" s="29" t="s">
        <v>749</v>
      </c>
    </row>
    <row r="81" spans="25:31" ht="14.5">
      <c r="Y81" s="518" t="s">
        <v>747</v>
      </c>
      <c r="AB81" s="2"/>
    </row>
    <row r="82" spans="25:31" ht="14.5">
      <c r="Y82" s="518" t="s">
        <v>748</v>
      </c>
      <c r="AB82" s="2"/>
      <c r="AC82" s="29" t="s">
        <v>750</v>
      </c>
    </row>
    <row r="83" spans="25:31" ht="14.5">
      <c r="Y83" s="518"/>
      <c r="AB83" s="2"/>
      <c r="AC83" s="29" t="s">
        <v>751</v>
      </c>
    </row>
    <row r="84" spans="25:31" ht="14.5">
      <c r="Y84" s="518" t="s">
        <v>749</v>
      </c>
      <c r="AB84" s="2"/>
      <c r="AC84" s="29" t="s">
        <v>752</v>
      </c>
    </row>
    <row r="85" spans="25:31" ht="14.5">
      <c r="Y85" s="518"/>
      <c r="AB85" s="2"/>
      <c r="AC85" s="29" t="s">
        <v>753</v>
      </c>
    </row>
    <row r="86" spans="25:31" ht="14.5">
      <c r="Y86" s="518" t="s">
        <v>750</v>
      </c>
      <c r="AB86" s="2"/>
      <c r="AC86" s="29" t="s">
        <v>754</v>
      </c>
    </row>
    <row r="87" spans="25:31" ht="14.5">
      <c r="Y87" s="518" t="s">
        <v>751</v>
      </c>
      <c r="AB87" s="2"/>
      <c r="AC87" s="29" t="s">
        <v>755</v>
      </c>
    </row>
    <row r="88" spans="25:31" ht="14.5">
      <c r="Y88" s="518" t="s">
        <v>752</v>
      </c>
      <c r="AB88" s="2"/>
      <c r="AC88" s="29" t="s">
        <v>756</v>
      </c>
    </row>
    <row r="89" spans="25:31" ht="14.5">
      <c r="Y89" s="518" t="s">
        <v>753</v>
      </c>
      <c r="AB89" s="2"/>
      <c r="AC89" s="29" t="s">
        <v>757</v>
      </c>
    </row>
    <row r="90" spans="25:31" ht="14.5">
      <c r="Y90" s="518" t="s">
        <v>754</v>
      </c>
      <c r="AB90" s="2"/>
      <c r="AC90" s="29" t="s">
        <v>758</v>
      </c>
    </row>
    <row r="91" spans="25:31" ht="14.5">
      <c r="Y91" s="518" t="s">
        <v>755</v>
      </c>
      <c r="AB91" s="2"/>
    </row>
    <row r="92" spans="25:31" ht="14.5">
      <c r="Y92" s="518" t="s">
        <v>756</v>
      </c>
      <c r="AB92" s="2"/>
      <c r="AC92" s="29" t="s">
        <v>720</v>
      </c>
    </row>
    <row r="93" spans="25:31" ht="14.5">
      <c r="Y93" s="518" t="s">
        <v>757</v>
      </c>
      <c r="AB93" s="2"/>
    </row>
    <row r="94" spans="25:31" ht="14.5">
      <c r="Y94" s="518" t="s">
        <v>758</v>
      </c>
      <c r="AB94" s="2"/>
      <c r="AC94" s="29" t="s">
        <v>2950</v>
      </c>
    </row>
    <row r="95" spans="25:31" ht="14.5">
      <c r="Y95" s="518"/>
      <c r="AB95" s="2"/>
    </row>
    <row r="96" spans="25:31" ht="14.5">
      <c r="Y96" s="518" t="s">
        <v>759</v>
      </c>
      <c r="AB96" s="2"/>
      <c r="AC96" s="29" t="s">
        <v>683</v>
      </c>
      <c r="AD96" s="29" t="s">
        <v>765</v>
      </c>
      <c r="AE96" s="29" t="s">
        <v>766</v>
      </c>
    </row>
    <row r="97" spans="25:31" ht="14.5">
      <c r="Y97" s="518"/>
      <c r="AB97" s="2"/>
      <c r="AC97" s="518">
        <v>42513</v>
      </c>
      <c r="AD97" s="29">
        <v>25.201499999999999</v>
      </c>
      <c r="AE97" s="29">
        <v>-5.8099999999999999E-2</v>
      </c>
    </row>
    <row r="98" spans="25:31" ht="14.5">
      <c r="Y98" s="518" t="s">
        <v>760</v>
      </c>
      <c r="AB98" s="2"/>
      <c r="AC98" s="518">
        <v>42510</v>
      </c>
      <c r="AD98" s="29">
        <v>25.259599999999999</v>
      </c>
      <c r="AE98" s="29">
        <v>2.3999999999999998E-3</v>
      </c>
    </row>
    <row r="99" spans="25:31" ht="14.5">
      <c r="Y99" s="518" t="s">
        <v>761</v>
      </c>
      <c r="AB99" s="2"/>
      <c r="AC99" s="518">
        <v>42509</v>
      </c>
      <c r="AD99" s="29">
        <v>25.257200000000001</v>
      </c>
      <c r="AE99" s="29">
        <v>-1.6199999999999999E-2</v>
      </c>
    </row>
    <row r="100" spans="25:31" ht="14.5">
      <c r="Y100" s="518" t="s">
        <v>762</v>
      </c>
      <c r="AB100" s="2"/>
      <c r="AC100" s="518">
        <v>42508</v>
      </c>
      <c r="AD100" s="29">
        <v>25.273399999999999</v>
      </c>
      <c r="AE100" s="29">
        <v>-0.12130000000000001</v>
      </c>
    </row>
    <row r="101" spans="25:31" ht="14.5">
      <c r="Y101" s="518" t="s">
        <v>763</v>
      </c>
      <c r="AB101" s="2"/>
      <c r="AC101" s="518">
        <v>42507</v>
      </c>
      <c r="AD101" s="29">
        <v>25.3947</v>
      </c>
      <c r="AE101" s="29">
        <v>-5.7500000000000002E-2</v>
      </c>
    </row>
    <row r="102" spans="25:31" ht="14.5">
      <c r="Y102" s="518"/>
      <c r="AB102" s="2"/>
      <c r="AC102" s="518">
        <v>42506</v>
      </c>
      <c r="AD102" s="29">
        <v>25.452200000000001</v>
      </c>
      <c r="AE102" s="29">
        <v>0.13930000000000001</v>
      </c>
    </row>
    <row r="103" spans="25:31" ht="14.5">
      <c r="Y103" s="518" t="s">
        <v>720</v>
      </c>
      <c r="AB103" s="2"/>
      <c r="AC103" s="518">
        <v>42503</v>
      </c>
      <c r="AD103" s="29">
        <v>25.312899999999999</v>
      </c>
      <c r="AE103" s="29">
        <v>-1.2800000000000001E-2</v>
      </c>
    </row>
    <row r="104" spans="25:31" ht="14.5">
      <c r="Y104" s="518"/>
      <c r="AB104" s="2"/>
      <c r="AC104" s="518">
        <v>42502</v>
      </c>
      <c r="AD104" s="29">
        <v>25.325700000000001</v>
      </c>
      <c r="AE104" s="29">
        <v>0.12959999999999999</v>
      </c>
    </row>
    <row r="105" spans="25:31" ht="14.5">
      <c r="Y105" s="518" t="s">
        <v>764</v>
      </c>
      <c r="AB105" s="2"/>
      <c r="AC105" s="518">
        <v>42501</v>
      </c>
      <c r="AD105" s="29">
        <v>25.196100000000001</v>
      </c>
      <c r="AE105" s="29">
        <v>3.3399999999999999E-2</v>
      </c>
    </row>
    <row r="106" spans="25:31" ht="14.5">
      <c r="AB106" s="2"/>
      <c r="AC106" s="518">
        <v>42500</v>
      </c>
      <c r="AD106" s="29">
        <v>25.162700000000001</v>
      </c>
      <c r="AE106" s="29">
        <v>3.9699999999999999E-2</v>
      </c>
    </row>
    <row r="107" spans="25:31" ht="14.5">
      <c r="Y107" s="518" t="s">
        <v>683</v>
      </c>
      <c r="Z107" s="29" t="s">
        <v>765</v>
      </c>
      <c r="AA107" s="29" t="s">
        <v>766</v>
      </c>
      <c r="AB107" s="2"/>
      <c r="AC107" s="29" t="s">
        <v>767</v>
      </c>
    </row>
    <row r="108" spans="25:31" ht="14.5">
      <c r="Y108" s="518">
        <v>42511</v>
      </c>
      <c r="Z108" s="29">
        <v>66.377499999999998</v>
      </c>
      <c r="AA108" s="29">
        <v>0.16650000000000001</v>
      </c>
      <c r="AB108" s="2"/>
    </row>
    <row r="109" spans="25:31" ht="14.5">
      <c r="Y109" s="518">
        <v>42510</v>
      </c>
      <c r="Z109" s="29">
        <v>66.210999999999999</v>
      </c>
      <c r="AA109" s="29">
        <v>1.1469</v>
      </c>
      <c r="AB109" s="2"/>
      <c r="AC109" s="29" t="s">
        <v>690</v>
      </c>
    </row>
    <row r="110" spans="25:31" ht="14.5">
      <c r="Y110" s="518">
        <v>42509</v>
      </c>
      <c r="Z110" s="29">
        <v>65.064099999999996</v>
      </c>
      <c r="AA110" s="29">
        <v>0.55030000000000001</v>
      </c>
      <c r="AB110" s="2"/>
    </row>
    <row r="111" spans="25:31" ht="14.5">
      <c r="Y111" s="518">
        <v>42508</v>
      </c>
      <c r="Z111" s="29">
        <v>64.513800000000003</v>
      </c>
      <c r="AA111" s="29">
        <v>-0.37569999999999998</v>
      </c>
      <c r="AB111" s="2"/>
      <c r="AC111" s="29" t="s">
        <v>2960</v>
      </c>
    </row>
    <row r="112" spans="25:31" ht="14.5">
      <c r="Y112" s="518">
        <v>42507</v>
      </c>
      <c r="Z112" s="29">
        <v>64.889499999999998</v>
      </c>
      <c r="AA112" s="29">
        <v>-4.1099999999999998E-2</v>
      </c>
      <c r="AB112" s="2"/>
      <c r="AC112" s="29" t="s">
        <v>2961</v>
      </c>
    </row>
    <row r="113" spans="25:29" ht="14.5">
      <c r="Y113" s="518">
        <v>42504</v>
      </c>
      <c r="Z113" s="29">
        <v>64.930599999999998</v>
      </c>
      <c r="AA113" s="29">
        <v>-3.0099999999999998E-2</v>
      </c>
      <c r="AB113" s="2"/>
      <c r="AC113" s="29" t="s">
        <v>2962</v>
      </c>
    </row>
    <row r="114" spans="25:29" ht="14.5">
      <c r="Y114" s="518">
        <v>42503</v>
      </c>
      <c r="Z114" s="29">
        <v>64.960700000000003</v>
      </c>
      <c r="AA114" s="29">
        <v>-1.2821</v>
      </c>
      <c r="AB114" s="2"/>
      <c r="AC114" s="29" t="s">
        <v>2963</v>
      </c>
    </row>
    <row r="115" spans="25:29" ht="14.5">
      <c r="Y115" s="518">
        <v>42502</v>
      </c>
      <c r="Z115" s="29">
        <v>66.242800000000003</v>
      </c>
      <c r="AA115" s="29">
        <v>-8.4900000000000003E-2</v>
      </c>
      <c r="AB115" s="2"/>
      <c r="AC115" s="29" t="s">
        <v>2964</v>
      </c>
    </row>
    <row r="116" spans="25:29" ht="14.5">
      <c r="Y116" s="518">
        <v>42501</v>
      </c>
      <c r="Z116" s="29">
        <v>66.327699999999993</v>
      </c>
      <c r="AA116" s="29">
        <v>0.13489999999999999</v>
      </c>
      <c r="AB116" s="2"/>
      <c r="AC116" s="29" t="s">
        <v>2965</v>
      </c>
    </row>
    <row r="117" spans="25:29" ht="14.5">
      <c r="Y117" s="518">
        <v>42497</v>
      </c>
      <c r="Z117" s="29">
        <v>66.192800000000005</v>
      </c>
      <c r="AA117" s="29">
        <v>0.30099999999999999</v>
      </c>
      <c r="AB117" s="2"/>
    </row>
    <row r="118" spans="25:29" ht="14.5">
      <c r="Y118" s="29" t="s">
        <v>767</v>
      </c>
      <c r="AB118" s="2"/>
      <c r="AC118" s="29" t="s">
        <v>769</v>
      </c>
    </row>
    <row r="119" spans="25:29" ht="14.5">
      <c r="Y119" s="29" t="s">
        <v>768</v>
      </c>
      <c r="AB119" s="2"/>
      <c r="AC119" s="29" t="s">
        <v>770</v>
      </c>
    </row>
    <row r="120" spans="25:29" ht="14.5">
      <c r="AB120" s="2"/>
      <c r="AC120" s="29" t="s">
        <v>771</v>
      </c>
    </row>
    <row r="121" spans="25:29" ht="14.5">
      <c r="Y121" s="29" t="s">
        <v>690</v>
      </c>
      <c r="AB121" s="2"/>
      <c r="AC121" s="29" t="s">
        <v>772</v>
      </c>
    </row>
    <row r="122" spans="25:29" ht="14.5">
      <c r="AB122" s="2"/>
      <c r="AC122" s="29" t="s">
        <v>773</v>
      </c>
    </row>
    <row r="123" spans="25:29" ht="14.5">
      <c r="Y123" s="29" t="s">
        <v>2966</v>
      </c>
      <c r="AB123" s="2"/>
      <c r="AC123" s="29" t="s">
        <v>774</v>
      </c>
    </row>
    <row r="124" spans="25:29" ht="14.5">
      <c r="Y124" s="29" t="s">
        <v>2967</v>
      </c>
      <c r="AB124" s="2"/>
      <c r="AC124" s="29" t="s">
        <v>775</v>
      </c>
    </row>
    <row r="125" spans="25:29" ht="14.5">
      <c r="Y125" s="29" t="s">
        <v>2968</v>
      </c>
      <c r="AB125" s="2"/>
      <c r="AC125" s="29" t="s">
        <v>620</v>
      </c>
    </row>
    <row r="126" spans="25:29" ht="14.5">
      <c r="Y126" s="29" t="s">
        <v>2969</v>
      </c>
      <c r="AB126" s="2"/>
      <c r="AC126" s="29" t="s">
        <v>776</v>
      </c>
    </row>
    <row r="127" spans="25:29" ht="14.5">
      <c r="Y127" s="29" t="s">
        <v>2970</v>
      </c>
      <c r="AB127" s="2"/>
      <c r="AC127" s="29" t="s">
        <v>777</v>
      </c>
    </row>
    <row r="128" spans="25:29" ht="14.5">
      <c r="Y128" s="29" t="s">
        <v>2971</v>
      </c>
      <c r="AB128" s="2"/>
      <c r="AC128" s="29" t="s">
        <v>2951</v>
      </c>
    </row>
    <row r="129" spans="25:29" ht="14.5">
      <c r="AB129" s="2"/>
    </row>
    <row r="130" spans="25:29" ht="14.5">
      <c r="Y130" s="29" t="s">
        <v>769</v>
      </c>
      <c r="AB130" s="2"/>
      <c r="AC130" s="29" t="s">
        <v>2951</v>
      </c>
    </row>
    <row r="131" spans="25:29" ht="14.5">
      <c r="Y131" s="29" t="s">
        <v>770</v>
      </c>
      <c r="AB131" s="2"/>
      <c r="AC131" s="29" t="s">
        <v>2952</v>
      </c>
    </row>
    <row r="132" spans="25:29" ht="14.5">
      <c r="Y132" s="29" t="s">
        <v>771</v>
      </c>
      <c r="AB132" s="2"/>
    </row>
    <row r="133" spans="25:29" ht="14.5">
      <c r="Y133" s="29" t="s">
        <v>772</v>
      </c>
      <c r="AB133" s="2"/>
    </row>
    <row r="134" spans="25:29" ht="14.5">
      <c r="Y134" s="29" t="s">
        <v>773</v>
      </c>
      <c r="AB134" s="2"/>
    </row>
    <row r="135" spans="25:29" ht="14.5">
      <c r="Y135" s="29" t="s">
        <v>774</v>
      </c>
      <c r="AB135" s="2"/>
      <c r="AC135" s="29" t="s">
        <v>778</v>
      </c>
    </row>
    <row r="136" spans="25:29" ht="14.5">
      <c r="Y136" s="29" t="s">
        <v>775</v>
      </c>
      <c r="AB136" s="2"/>
    </row>
    <row r="137" spans="25:29" ht="14.5">
      <c r="Y137" s="29" t="s">
        <v>620</v>
      </c>
      <c r="AB137" s="2"/>
    </row>
    <row r="138" spans="25:29" ht="14.5">
      <c r="Y138" s="29" t="s">
        <v>776</v>
      </c>
      <c r="AB138" s="2"/>
    </row>
    <row r="139" spans="25:29" ht="14.5">
      <c r="Y139" s="29" t="s">
        <v>777</v>
      </c>
      <c r="AB139" s="2"/>
    </row>
    <row r="140" spans="25:29">
      <c r="Y140" s="29" t="s">
        <v>778</v>
      </c>
    </row>
  </sheetData>
  <sheetProtection formatCells="0" selectLockedCells="1"/>
  <mergeCells count="41">
    <mergeCell ref="U1:V1"/>
    <mergeCell ref="U2:V2"/>
    <mergeCell ref="F3:P10"/>
    <mergeCell ref="U3:V3"/>
    <mergeCell ref="U4:V4"/>
    <mergeCell ref="C11:E11"/>
    <mergeCell ref="C12:L14"/>
    <mergeCell ref="M12:N14"/>
    <mergeCell ref="Q12:Q14"/>
    <mergeCell ref="C15:H16"/>
    <mergeCell ref="I15:L16"/>
    <mergeCell ref="M15:P16"/>
    <mergeCell ref="Q15:R16"/>
    <mergeCell ref="C17:F17"/>
    <mergeCell ref="M17:N17"/>
    <mergeCell ref="O17:P17"/>
    <mergeCell ref="C18:F18"/>
    <mergeCell ref="M18:P18"/>
    <mergeCell ref="C19:F19"/>
    <mergeCell ref="M19:P19"/>
    <mergeCell ref="C20:F20"/>
    <mergeCell ref="M20:P20"/>
    <mergeCell ref="C21:F21"/>
    <mergeCell ref="C22:F22"/>
    <mergeCell ref="C23:F23"/>
    <mergeCell ref="C24:F24"/>
    <mergeCell ref="C25:F25"/>
    <mergeCell ref="M25:P25"/>
    <mergeCell ref="C26:F26"/>
    <mergeCell ref="M26:P26"/>
    <mergeCell ref="C27:F27"/>
    <mergeCell ref="M27:P27"/>
    <mergeCell ref="D32:E32"/>
    <mergeCell ref="F32:G32"/>
    <mergeCell ref="L71:M72"/>
    <mergeCell ref="C28:F28"/>
    <mergeCell ref="M28:P28"/>
    <mergeCell ref="C29:F29"/>
    <mergeCell ref="M29:P29"/>
    <mergeCell ref="C30:F30"/>
    <mergeCell ref="M30:P30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AI824"/>
  <sheetViews>
    <sheetView workbookViewId="0">
      <pane ySplit="9" topLeftCell="A130" activePane="bottomLeft" state="frozenSplit"/>
      <selection activeCell="B2" sqref="B2:B3"/>
      <selection pane="bottomLeft" sqref="A1:F5"/>
    </sheetView>
  </sheetViews>
  <sheetFormatPr defaultRowHeight="12.75" customHeight="1"/>
  <cols>
    <col min="1" max="1" width="15.1796875" style="9" customWidth="1"/>
    <col min="2" max="2" width="15.1796875" style="9" hidden="1" customWidth="1"/>
    <col min="3" max="3" width="18.81640625" style="9" customWidth="1"/>
    <col min="4" max="4" width="5.54296875" style="9" customWidth="1"/>
    <col min="5" max="31" width="3.7265625" style="9" customWidth="1"/>
    <col min="32" max="16384" width="8.7265625" style="9"/>
  </cols>
  <sheetData>
    <row r="1" spans="1:31" ht="12.75" customHeight="1">
      <c r="A1" s="931"/>
      <c r="B1" s="931"/>
      <c r="C1" s="931"/>
      <c r="D1" s="931"/>
      <c r="E1" s="931"/>
      <c r="F1" s="93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8" t="s">
        <v>116</v>
      </c>
      <c r="Z1" s="8"/>
      <c r="AA1" s="8"/>
      <c r="AB1" s="8"/>
      <c r="AC1" s="8"/>
      <c r="AD1" s="8"/>
      <c r="AE1" s="8"/>
    </row>
    <row r="2" spans="1:31" ht="12.75" customHeight="1">
      <c r="A2" s="931"/>
      <c r="B2" s="931"/>
      <c r="C2" s="931"/>
      <c r="D2" s="931"/>
      <c r="E2" s="931"/>
      <c r="F2" s="931"/>
      <c r="G2" s="932" t="s">
        <v>117</v>
      </c>
      <c r="H2" s="932"/>
      <c r="I2" s="932"/>
      <c r="J2" s="932"/>
      <c r="K2" s="932"/>
      <c r="L2" s="932"/>
      <c r="M2" s="932"/>
      <c r="N2" s="932"/>
      <c r="O2" s="932"/>
      <c r="P2" s="932"/>
      <c r="Q2" s="932"/>
      <c r="R2" s="932"/>
      <c r="S2" s="932"/>
      <c r="T2" s="932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2.75" customHeight="1">
      <c r="A3" s="931"/>
      <c r="B3" s="931"/>
      <c r="C3" s="931"/>
      <c r="D3" s="931"/>
      <c r="E3" s="931"/>
      <c r="F3" s="931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2"/>
      <c r="T3" s="932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1" ht="12.75" customHeight="1">
      <c r="A4" s="931"/>
      <c r="B4" s="931"/>
      <c r="C4" s="931"/>
      <c r="D4" s="931"/>
      <c r="E4" s="931"/>
      <c r="F4" s="931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ht="18" customHeight="1">
      <c r="A5" s="931"/>
      <c r="B5" s="931"/>
      <c r="C5" s="931"/>
      <c r="D5" s="931"/>
      <c r="E5" s="931"/>
      <c r="F5" s="931"/>
      <c r="G5" s="932"/>
      <c r="H5" s="932"/>
      <c r="I5" s="932"/>
      <c r="J5" s="932"/>
      <c r="K5" s="932"/>
      <c r="L5" s="932"/>
      <c r="M5" s="932"/>
      <c r="N5" s="932"/>
      <c r="O5" s="932"/>
      <c r="P5" s="932"/>
      <c r="Q5" s="932"/>
      <c r="R5" s="932"/>
      <c r="S5" s="932"/>
      <c r="T5" s="932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26.25" customHeight="1">
      <c r="A6" s="933" t="s">
        <v>118</v>
      </c>
      <c r="B6" s="933"/>
      <c r="C6" s="933"/>
      <c r="D6" s="933"/>
      <c r="E6" s="933"/>
      <c r="F6" s="933"/>
      <c r="G6" s="933"/>
      <c r="H6" s="933"/>
      <c r="I6" s="933"/>
      <c r="J6" s="933"/>
      <c r="K6" s="933"/>
      <c r="L6" s="933"/>
      <c r="M6" s="933"/>
      <c r="N6" s="933"/>
      <c r="O6" s="933"/>
      <c r="P6" s="933"/>
      <c r="Q6" s="933"/>
      <c r="R6" s="933"/>
      <c r="S6" s="933"/>
      <c r="T6" s="933"/>
      <c r="U6" s="933"/>
      <c r="V6" s="933"/>
      <c r="W6" s="933"/>
      <c r="X6" s="933"/>
      <c r="Y6" s="933"/>
      <c r="Z6" s="933"/>
      <c r="AA6" s="933"/>
      <c r="AB6" s="933"/>
      <c r="AC6" s="933"/>
      <c r="AD6" s="933"/>
      <c r="AE6" s="933"/>
    </row>
    <row r="7" spans="1:31" ht="12.75" customHeight="1">
      <c r="A7" s="11" t="s">
        <v>119</v>
      </c>
      <c r="B7" s="12"/>
      <c r="C7" s="13"/>
      <c r="D7" s="13"/>
      <c r="E7" s="934" t="s">
        <v>120</v>
      </c>
      <c r="F7" s="935"/>
      <c r="G7" s="935"/>
      <c r="H7" s="935"/>
      <c r="I7" s="936"/>
      <c r="J7" s="937" t="s">
        <v>121</v>
      </c>
      <c r="K7" s="937"/>
      <c r="L7" s="937"/>
      <c r="M7" s="937"/>
      <c r="N7" s="937"/>
      <c r="O7" s="937"/>
      <c r="P7" s="937"/>
      <c r="Q7" s="937"/>
      <c r="R7" s="937"/>
      <c r="S7" s="937"/>
      <c r="T7" s="937"/>
      <c r="U7" s="937"/>
      <c r="V7" s="938"/>
      <c r="W7" s="939" t="s">
        <v>122</v>
      </c>
      <c r="X7" s="939"/>
      <c r="Y7" s="939"/>
      <c r="Z7" s="939"/>
      <c r="AA7" s="939"/>
      <c r="AB7" s="939"/>
      <c r="AC7" s="939"/>
      <c r="AD7" s="939"/>
      <c r="AE7" s="940"/>
    </row>
    <row r="8" spans="1:31" ht="12.75" customHeight="1">
      <c r="A8" s="925" t="s">
        <v>123</v>
      </c>
      <c r="B8" s="926"/>
      <c r="C8" s="927"/>
      <c r="D8" s="923" t="s">
        <v>124</v>
      </c>
      <c r="E8" s="923" t="s">
        <v>125</v>
      </c>
      <c r="F8" s="923" t="s">
        <v>126</v>
      </c>
      <c r="G8" s="923" t="s">
        <v>127</v>
      </c>
      <c r="H8" s="923" t="s">
        <v>128</v>
      </c>
      <c r="I8" s="923" t="s">
        <v>129</v>
      </c>
      <c r="J8" s="923" t="s">
        <v>130</v>
      </c>
      <c r="K8" s="921" t="s">
        <v>131</v>
      </c>
      <c r="L8" s="921">
        <v>100</v>
      </c>
      <c r="M8" s="923">
        <v>200</v>
      </c>
      <c r="N8" s="921">
        <v>500</v>
      </c>
      <c r="O8" s="921">
        <v>1000</v>
      </c>
      <c r="P8" s="923">
        <v>1500</v>
      </c>
      <c r="Q8" s="923">
        <v>2000</v>
      </c>
      <c r="R8" s="921">
        <v>3000</v>
      </c>
      <c r="S8" s="921">
        <v>5000</v>
      </c>
      <c r="T8" s="921">
        <v>10000</v>
      </c>
      <c r="U8" s="921">
        <v>14000</v>
      </c>
      <c r="V8" s="921">
        <v>18000</v>
      </c>
      <c r="W8" s="921" t="s">
        <v>132</v>
      </c>
      <c r="X8" s="921" t="s">
        <v>133</v>
      </c>
      <c r="Y8" s="923">
        <v>1</v>
      </c>
      <c r="Z8" s="921">
        <v>4</v>
      </c>
      <c r="AA8" s="921">
        <v>7</v>
      </c>
      <c r="AB8" s="921">
        <v>15</v>
      </c>
      <c r="AC8" s="921">
        <v>30</v>
      </c>
      <c r="AD8" s="921">
        <v>50</v>
      </c>
      <c r="AE8" s="921">
        <v>70</v>
      </c>
    </row>
    <row r="9" spans="1:31" ht="36" customHeight="1">
      <c r="A9" s="928"/>
      <c r="B9" s="929"/>
      <c r="C9" s="930"/>
      <c r="D9" s="924"/>
      <c r="E9" s="924"/>
      <c r="F9" s="924"/>
      <c r="G9" s="924"/>
      <c r="H9" s="924"/>
      <c r="I9" s="924"/>
      <c r="J9" s="924"/>
      <c r="K9" s="922"/>
      <c r="L9" s="922"/>
      <c r="M9" s="924"/>
      <c r="N9" s="922"/>
      <c r="O9" s="922"/>
      <c r="P9" s="924"/>
      <c r="Q9" s="924"/>
      <c r="R9" s="922"/>
      <c r="S9" s="922"/>
      <c r="T9" s="922"/>
      <c r="U9" s="922"/>
      <c r="V9" s="922"/>
      <c r="W9" s="922"/>
      <c r="X9" s="922"/>
      <c r="Y9" s="924"/>
      <c r="Z9" s="922"/>
      <c r="AA9" s="922"/>
      <c r="AB9" s="922"/>
      <c r="AC9" s="922"/>
      <c r="AD9" s="922"/>
      <c r="AE9" s="922"/>
    </row>
    <row r="10" spans="1:31" ht="12.5">
      <c r="A10" s="14" t="s">
        <v>134</v>
      </c>
      <c r="B10" s="14">
        <v>6307423</v>
      </c>
      <c r="C10" s="15"/>
      <c r="D10" s="16"/>
      <c r="E10" s="16">
        <v>290</v>
      </c>
      <c r="F10" s="16">
        <v>300</v>
      </c>
      <c r="G10" s="16">
        <v>310</v>
      </c>
      <c r="H10" s="16">
        <v>320</v>
      </c>
      <c r="I10" s="16">
        <v>330</v>
      </c>
      <c r="J10" s="16">
        <v>8.1999999999999993</v>
      </c>
      <c r="K10" s="17">
        <v>8</v>
      </c>
      <c r="L10" s="17">
        <v>7.8</v>
      </c>
      <c r="M10" s="17">
        <v>7.4</v>
      </c>
      <c r="N10" s="17">
        <v>7.2</v>
      </c>
      <c r="O10" s="17">
        <v>6.8</v>
      </c>
      <c r="P10" s="17">
        <v>6.6</v>
      </c>
      <c r="Q10" s="17">
        <v>6.4</v>
      </c>
      <c r="R10" s="17">
        <v>6.2</v>
      </c>
      <c r="S10" s="17">
        <v>6</v>
      </c>
      <c r="T10" s="17">
        <v>5.8</v>
      </c>
      <c r="U10" s="16">
        <v>5.6</v>
      </c>
      <c r="V10" s="16">
        <v>5.5</v>
      </c>
      <c r="W10" s="16">
        <v>1900</v>
      </c>
      <c r="X10" s="16">
        <v>1800</v>
      </c>
      <c r="Y10" s="16">
        <v>1750</v>
      </c>
      <c r="Z10" s="16">
        <v>1700</v>
      </c>
      <c r="AA10" s="16">
        <v>1600</v>
      </c>
      <c r="AB10" s="16">
        <v>1500</v>
      </c>
      <c r="AC10" s="16">
        <v>1450</v>
      </c>
      <c r="AD10" s="16">
        <v>1400</v>
      </c>
      <c r="AE10" s="16">
        <v>1300</v>
      </c>
    </row>
    <row r="11" spans="1:31" ht="12.5">
      <c r="A11" s="14" t="s">
        <v>135</v>
      </c>
      <c r="B11" s="14">
        <v>6489590</v>
      </c>
      <c r="C11" s="15"/>
      <c r="D11" s="16"/>
      <c r="E11" s="16">
        <v>600</v>
      </c>
      <c r="F11" s="16">
        <v>800</v>
      </c>
      <c r="G11" s="16">
        <v>1000</v>
      </c>
      <c r="H11" s="16">
        <v>1300</v>
      </c>
      <c r="I11" s="16">
        <v>1330</v>
      </c>
      <c r="J11" s="16">
        <v>33.200000000000003</v>
      </c>
      <c r="K11" s="17">
        <v>29.8</v>
      </c>
      <c r="L11" s="17">
        <v>28.9</v>
      </c>
      <c r="M11" s="17">
        <v>28</v>
      </c>
      <c r="N11" s="17">
        <v>27.1</v>
      </c>
      <c r="O11" s="17">
        <v>26.2</v>
      </c>
      <c r="P11" s="17">
        <v>25.6</v>
      </c>
      <c r="Q11" s="17">
        <v>25.1</v>
      </c>
      <c r="R11" s="17">
        <v>24.6</v>
      </c>
      <c r="S11" s="17">
        <v>24.1</v>
      </c>
      <c r="T11" s="17">
        <v>23.4</v>
      </c>
      <c r="U11" s="16">
        <v>22.7</v>
      </c>
      <c r="V11" s="16">
        <v>22</v>
      </c>
      <c r="W11" s="16">
        <v>6700</v>
      </c>
      <c r="X11" s="16">
        <v>6500</v>
      </c>
      <c r="Y11" s="16">
        <v>6200</v>
      </c>
      <c r="Z11" s="16">
        <v>5950</v>
      </c>
      <c r="AA11" s="16">
        <v>5700</v>
      </c>
      <c r="AB11" s="16">
        <v>5400</v>
      </c>
      <c r="AC11" s="16">
        <v>5190</v>
      </c>
      <c r="AD11" s="16">
        <v>5060</v>
      </c>
      <c r="AE11" s="16">
        <v>4900</v>
      </c>
    </row>
    <row r="12" spans="1:31" ht="12.5">
      <c r="A12" s="14" t="s">
        <v>136</v>
      </c>
      <c r="B12" s="14">
        <v>6489572</v>
      </c>
      <c r="C12" s="15"/>
      <c r="D12" s="16"/>
      <c r="E12" s="16">
        <v>600</v>
      </c>
      <c r="F12" s="16">
        <v>700</v>
      </c>
      <c r="G12" s="16">
        <v>710</v>
      </c>
      <c r="H12" s="16">
        <v>720</v>
      </c>
      <c r="I12" s="16">
        <v>730</v>
      </c>
      <c r="J12" s="16">
        <v>18.2</v>
      </c>
      <c r="K12" s="17">
        <v>16.899999999999999</v>
      </c>
      <c r="L12" s="17">
        <v>16.3</v>
      </c>
      <c r="M12" s="17">
        <v>15.7</v>
      </c>
      <c r="N12" s="17">
        <v>15.1</v>
      </c>
      <c r="O12" s="17">
        <v>14.5</v>
      </c>
      <c r="P12" s="17">
        <v>14.2</v>
      </c>
      <c r="Q12" s="17">
        <v>13.9</v>
      </c>
      <c r="R12" s="17">
        <v>13.6</v>
      </c>
      <c r="S12" s="17">
        <v>13.3</v>
      </c>
      <c r="T12" s="17">
        <v>12.9</v>
      </c>
      <c r="U12" s="16">
        <v>12.5</v>
      </c>
      <c r="V12" s="16">
        <v>12.1</v>
      </c>
      <c r="W12" s="16">
        <v>3800</v>
      </c>
      <c r="X12" s="16">
        <v>3700</v>
      </c>
      <c r="Y12" s="16">
        <v>3550</v>
      </c>
      <c r="Z12" s="16">
        <v>3400</v>
      </c>
      <c r="AA12" s="16">
        <v>3250</v>
      </c>
      <c r="AB12" s="16">
        <v>3100</v>
      </c>
      <c r="AC12" s="16">
        <v>2950</v>
      </c>
      <c r="AD12" s="16">
        <v>2880</v>
      </c>
      <c r="AE12" s="16">
        <v>2800</v>
      </c>
    </row>
    <row r="13" spans="1:31" ht="12.5">
      <c r="A13" s="14" t="s">
        <v>137</v>
      </c>
      <c r="B13" s="14">
        <v>6489567</v>
      </c>
      <c r="C13" s="15"/>
      <c r="D13" s="16"/>
      <c r="E13" s="16">
        <v>600</v>
      </c>
      <c r="F13" s="16">
        <v>800</v>
      </c>
      <c r="G13" s="16">
        <v>1000</v>
      </c>
      <c r="H13" s="16">
        <v>1080</v>
      </c>
      <c r="I13" s="16">
        <v>1090</v>
      </c>
      <c r="J13" s="16">
        <v>27.2</v>
      </c>
      <c r="K13" s="17">
        <v>23.9</v>
      </c>
      <c r="L13" s="17">
        <v>22.2</v>
      </c>
      <c r="M13" s="17">
        <v>21</v>
      </c>
      <c r="N13" s="17">
        <v>19.8</v>
      </c>
      <c r="O13" s="17">
        <v>18.600000000000001</v>
      </c>
      <c r="P13" s="17">
        <v>17.3</v>
      </c>
      <c r="Q13" s="17">
        <v>16.8</v>
      </c>
      <c r="R13" s="17">
        <v>16.2</v>
      </c>
      <c r="S13" s="17">
        <v>15.8</v>
      </c>
      <c r="T13" s="17">
        <v>15.2</v>
      </c>
      <c r="U13" s="16">
        <v>14.7</v>
      </c>
      <c r="V13" s="16">
        <v>14</v>
      </c>
      <c r="W13" s="16">
        <v>4700</v>
      </c>
      <c r="X13" s="16">
        <v>4600</v>
      </c>
      <c r="Y13" s="16">
        <v>4300</v>
      </c>
      <c r="Z13" s="16">
        <v>4100</v>
      </c>
      <c r="AA13" s="16">
        <v>3950</v>
      </c>
      <c r="AB13" s="16">
        <v>3800</v>
      </c>
      <c r="AC13" s="16">
        <v>3700</v>
      </c>
      <c r="AD13" s="16">
        <v>3650</v>
      </c>
      <c r="AE13" s="16">
        <v>3600</v>
      </c>
    </row>
    <row r="14" spans="1:31" ht="12.5">
      <c r="A14" s="14" t="s">
        <v>138</v>
      </c>
      <c r="B14" s="14">
        <v>6308452</v>
      </c>
      <c r="C14" s="15"/>
      <c r="D14" s="16"/>
      <c r="E14" s="16">
        <v>300</v>
      </c>
      <c r="F14" s="16">
        <v>400</v>
      </c>
      <c r="G14" s="16">
        <v>420</v>
      </c>
      <c r="H14" s="16">
        <v>430</v>
      </c>
      <c r="I14" s="16">
        <v>440</v>
      </c>
      <c r="J14" s="16">
        <v>11</v>
      </c>
      <c r="K14" s="17">
        <v>11</v>
      </c>
      <c r="L14" s="17">
        <v>10.8</v>
      </c>
      <c r="M14" s="17">
        <v>10.6</v>
      </c>
      <c r="N14" s="17">
        <v>10.4</v>
      </c>
      <c r="O14" s="17">
        <v>10.199999999999999</v>
      </c>
      <c r="P14" s="17">
        <v>10</v>
      </c>
      <c r="Q14" s="17">
        <v>9.8000000000000007</v>
      </c>
      <c r="R14" s="17">
        <v>9.6</v>
      </c>
      <c r="S14" s="17">
        <v>9.4</v>
      </c>
      <c r="T14" s="17">
        <v>9.1999999999999993</v>
      </c>
      <c r="U14" s="16">
        <v>9</v>
      </c>
      <c r="V14" s="16">
        <v>8.8000000000000007</v>
      </c>
      <c r="W14" s="16">
        <v>2500</v>
      </c>
      <c r="X14" s="16">
        <v>2400</v>
      </c>
      <c r="Y14" s="16">
        <v>2300</v>
      </c>
      <c r="Z14" s="16">
        <v>2250</v>
      </c>
      <c r="AA14" s="16">
        <v>2200</v>
      </c>
      <c r="AB14" s="16">
        <v>2150</v>
      </c>
      <c r="AC14" s="16">
        <v>2100</v>
      </c>
      <c r="AD14" s="16">
        <v>2050</v>
      </c>
      <c r="AE14" s="16">
        <v>2000</v>
      </c>
    </row>
    <row r="15" spans="1:31" ht="12.5">
      <c r="A15" s="14" t="s">
        <v>139</v>
      </c>
      <c r="B15" s="14">
        <v>6308057</v>
      </c>
      <c r="C15" s="18" t="s">
        <v>140</v>
      </c>
      <c r="D15" s="16"/>
      <c r="E15" s="16">
        <v>300</v>
      </c>
      <c r="F15" s="16">
        <v>400</v>
      </c>
      <c r="G15" s="16">
        <v>560</v>
      </c>
      <c r="H15" s="16">
        <v>570</v>
      </c>
      <c r="I15" s="16">
        <v>580</v>
      </c>
      <c r="J15" s="16">
        <v>14.5</v>
      </c>
      <c r="K15" s="17">
        <v>14.5</v>
      </c>
      <c r="L15" s="17">
        <v>14</v>
      </c>
      <c r="M15" s="17">
        <v>13.9</v>
      </c>
      <c r="N15" s="17">
        <v>13.8</v>
      </c>
      <c r="O15" s="17">
        <v>13.6</v>
      </c>
      <c r="P15" s="17">
        <v>13.4</v>
      </c>
      <c r="Q15" s="17">
        <v>13.2</v>
      </c>
      <c r="R15" s="17">
        <v>12.8</v>
      </c>
      <c r="S15" s="17">
        <v>12.6</v>
      </c>
      <c r="T15" s="17">
        <v>12.4</v>
      </c>
      <c r="U15" s="16">
        <v>12.2</v>
      </c>
      <c r="V15" s="16">
        <v>12</v>
      </c>
      <c r="W15" s="16">
        <v>3400</v>
      </c>
      <c r="X15" s="16">
        <v>3300</v>
      </c>
      <c r="Y15" s="16">
        <v>3200</v>
      </c>
      <c r="Z15" s="16">
        <v>3100</v>
      </c>
      <c r="AA15" s="16">
        <v>3050</v>
      </c>
      <c r="AB15" s="16">
        <v>3000</v>
      </c>
      <c r="AC15" s="16">
        <v>2900</v>
      </c>
      <c r="AD15" s="16">
        <v>2850</v>
      </c>
      <c r="AE15" s="16">
        <v>2800</v>
      </c>
    </row>
    <row r="16" spans="1:31" ht="12.5">
      <c r="A16" s="14" t="s">
        <v>141</v>
      </c>
      <c r="B16" s="14">
        <v>6489566</v>
      </c>
      <c r="C16" s="15"/>
      <c r="D16" s="16"/>
      <c r="E16" s="16">
        <v>600</v>
      </c>
      <c r="F16" s="16">
        <v>660</v>
      </c>
      <c r="G16" s="16">
        <v>670</v>
      </c>
      <c r="H16" s="16">
        <v>680</v>
      </c>
      <c r="I16" s="16">
        <v>690</v>
      </c>
      <c r="J16" s="16">
        <v>17.2</v>
      </c>
      <c r="K16" s="17">
        <v>14.4</v>
      </c>
      <c r="L16" s="17">
        <v>13.2</v>
      </c>
      <c r="M16" s="17">
        <v>12.5</v>
      </c>
      <c r="N16" s="17">
        <v>11.8</v>
      </c>
      <c r="O16" s="17">
        <v>11.1</v>
      </c>
      <c r="P16" s="17">
        <v>10.3</v>
      </c>
      <c r="Q16" s="17">
        <v>9.9</v>
      </c>
      <c r="R16" s="17">
        <v>9.4</v>
      </c>
      <c r="S16" s="17">
        <v>9.1</v>
      </c>
      <c r="T16" s="17">
        <v>8.6999999999999993</v>
      </c>
      <c r="U16" s="16">
        <v>8.4</v>
      </c>
      <c r="V16" s="16">
        <v>8</v>
      </c>
      <c r="W16" s="16">
        <v>2950</v>
      </c>
      <c r="X16" s="16">
        <v>2850</v>
      </c>
      <c r="Y16" s="16">
        <v>2600</v>
      </c>
      <c r="Z16" s="16">
        <v>2450</v>
      </c>
      <c r="AA16" s="16">
        <v>2350</v>
      </c>
      <c r="AB16" s="16">
        <v>2250</v>
      </c>
      <c r="AC16" s="16">
        <v>2150</v>
      </c>
      <c r="AD16" s="16">
        <v>2100</v>
      </c>
      <c r="AE16" s="16">
        <v>2050</v>
      </c>
    </row>
    <row r="17" spans="1:31" ht="12.5">
      <c r="A17" s="14" t="s">
        <v>142</v>
      </c>
      <c r="B17" s="14">
        <v>6308070</v>
      </c>
      <c r="C17" s="18" t="s">
        <v>140</v>
      </c>
      <c r="D17" s="16"/>
      <c r="E17" s="16">
        <v>300</v>
      </c>
      <c r="F17" s="16">
        <v>370</v>
      </c>
      <c r="G17" s="16">
        <v>380</v>
      </c>
      <c r="H17" s="16">
        <v>390</v>
      </c>
      <c r="I17" s="16">
        <v>400</v>
      </c>
      <c r="J17" s="16">
        <v>10</v>
      </c>
      <c r="K17" s="17">
        <v>9.9</v>
      </c>
      <c r="L17" s="17">
        <v>9.8000000000000007</v>
      </c>
      <c r="M17" s="17">
        <v>9.6999999999999993</v>
      </c>
      <c r="N17" s="17">
        <v>9.6</v>
      </c>
      <c r="O17" s="17">
        <v>9.5</v>
      </c>
      <c r="P17" s="17">
        <v>9.4</v>
      </c>
      <c r="Q17" s="17">
        <v>9.3000000000000007</v>
      </c>
      <c r="R17" s="17">
        <v>9.1999999999999993</v>
      </c>
      <c r="S17" s="17">
        <v>9.1</v>
      </c>
      <c r="T17" s="17">
        <v>9</v>
      </c>
      <c r="U17" s="16">
        <v>8.9</v>
      </c>
      <c r="V17" s="16">
        <v>8.8000000000000007</v>
      </c>
      <c r="W17" s="16">
        <v>2600</v>
      </c>
      <c r="X17" s="16">
        <v>2550</v>
      </c>
      <c r="Y17" s="16">
        <v>2500</v>
      </c>
      <c r="Z17" s="16">
        <v>2450</v>
      </c>
      <c r="AA17" s="16">
        <v>2400</v>
      </c>
      <c r="AB17" s="16">
        <v>2350</v>
      </c>
      <c r="AC17" s="16">
        <v>2300</v>
      </c>
      <c r="AD17" s="16">
        <v>2250</v>
      </c>
      <c r="AE17" s="16">
        <v>2200</v>
      </c>
    </row>
    <row r="18" spans="1:31" ht="12.5">
      <c r="A18" s="14" t="s">
        <v>143</v>
      </c>
      <c r="B18" s="14">
        <v>6379661</v>
      </c>
      <c r="C18" s="15"/>
      <c r="D18" s="16">
        <v>980</v>
      </c>
      <c r="E18" s="16"/>
      <c r="F18" s="16"/>
      <c r="G18" s="16"/>
      <c r="H18" s="16"/>
      <c r="I18" s="16"/>
      <c r="J18" s="16"/>
      <c r="K18" s="17"/>
      <c r="L18" s="17">
        <v>1.6</v>
      </c>
      <c r="M18" s="17">
        <v>1.2</v>
      </c>
      <c r="N18" s="17">
        <v>1.1000000000000001</v>
      </c>
      <c r="O18" s="17">
        <v>1</v>
      </c>
      <c r="P18" s="17">
        <v>0.8</v>
      </c>
      <c r="Q18" s="17">
        <v>0.6</v>
      </c>
      <c r="R18" s="17">
        <v>0.5</v>
      </c>
      <c r="S18" s="17">
        <v>0.5</v>
      </c>
      <c r="T18" s="17">
        <v>0.4</v>
      </c>
      <c r="U18" s="16">
        <v>0.3</v>
      </c>
      <c r="V18" s="16">
        <v>0.3</v>
      </c>
      <c r="W18" s="16"/>
      <c r="X18" s="16">
        <v>310</v>
      </c>
      <c r="Y18" s="16">
        <v>280</v>
      </c>
      <c r="Z18" s="16">
        <v>180</v>
      </c>
      <c r="AA18" s="16">
        <v>160</v>
      </c>
      <c r="AB18" s="16">
        <v>140</v>
      </c>
      <c r="AC18" s="16">
        <v>110</v>
      </c>
      <c r="AD18" s="16">
        <v>80</v>
      </c>
      <c r="AE18" s="16">
        <v>70</v>
      </c>
    </row>
    <row r="19" spans="1:31" ht="12.5">
      <c r="A19" s="14" t="s">
        <v>144</v>
      </c>
      <c r="B19" s="14">
        <v>6489576</v>
      </c>
      <c r="C19" s="15"/>
      <c r="D19" s="16"/>
      <c r="E19" s="16">
        <v>600</v>
      </c>
      <c r="F19" s="16">
        <v>800</v>
      </c>
      <c r="G19" s="16">
        <v>1000</v>
      </c>
      <c r="H19" s="16">
        <v>1120</v>
      </c>
      <c r="I19" s="16">
        <v>1130</v>
      </c>
      <c r="J19" s="16">
        <v>28.2</v>
      </c>
      <c r="K19" s="17">
        <v>26.4</v>
      </c>
      <c r="L19" s="17">
        <v>25.3</v>
      </c>
      <c r="M19" s="17">
        <v>24.2</v>
      </c>
      <c r="N19" s="17">
        <v>23.1</v>
      </c>
      <c r="O19" s="17">
        <v>22</v>
      </c>
      <c r="P19" s="17">
        <v>21.2</v>
      </c>
      <c r="Q19" s="17">
        <v>20.8</v>
      </c>
      <c r="R19" s="17">
        <v>20.399999999999999</v>
      </c>
      <c r="S19" s="17">
        <v>20</v>
      </c>
      <c r="T19" s="17">
        <v>19.399999999999999</v>
      </c>
      <c r="U19" s="16">
        <v>18.8</v>
      </c>
      <c r="V19" s="16">
        <v>18.100000000000001</v>
      </c>
      <c r="W19" s="16">
        <v>5550</v>
      </c>
      <c r="X19" s="16">
        <v>5450</v>
      </c>
      <c r="Y19" s="16">
        <v>5250</v>
      </c>
      <c r="Z19" s="16">
        <v>5050</v>
      </c>
      <c r="AA19" s="16">
        <v>4850</v>
      </c>
      <c r="AB19" s="16">
        <v>4650</v>
      </c>
      <c r="AC19" s="16">
        <v>4500</v>
      </c>
      <c r="AD19" s="16">
        <v>4430</v>
      </c>
      <c r="AE19" s="16">
        <v>4350</v>
      </c>
    </row>
    <row r="20" spans="1:31" ht="12.5">
      <c r="A20" s="14" t="s">
        <v>145</v>
      </c>
      <c r="B20" s="14">
        <v>6307499</v>
      </c>
      <c r="C20" s="15"/>
      <c r="D20" s="16"/>
      <c r="E20" s="16">
        <v>290</v>
      </c>
      <c r="F20" s="16">
        <v>300</v>
      </c>
      <c r="G20" s="16">
        <v>310</v>
      </c>
      <c r="H20" s="16">
        <v>320</v>
      </c>
      <c r="I20" s="16">
        <v>330</v>
      </c>
      <c r="J20" s="16">
        <v>8.1999999999999993</v>
      </c>
      <c r="K20" s="17">
        <v>8</v>
      </c>
      <c r="L20" s="17">
        <v>7.8</v>
      </c>
      <c r="M20" s="17">
        <v>7.4</v>
      </c>
      <c r="N20" s="17">
        <v>7.2</v>
      </c>
      <c r="O20" s="17">
        <v>6.8</v>
      </c>
      <c r="P20" s="17">
        <v>6.6</v>
      </c>
      <c r="Q20" s="17">
        <v>6.4</v>
      </c>
      <c r="R20" s="17">
        <v>6.2</v>
      </c>
      <c r="S20" s="17">
        <v>6</v>
      </c>
      <c r="T20" s="17">
        <v>5.8</v>
      </c>
      <c r="U20" s="16">
        <v>5.6</v>
      </c>
      <c r="V20" s="16">
        <v>5.5</v>
      </c>
      <c r="W20" s="16">
        <v>1900</v>
      </c>
      <c r="X20" s="16">
        <v>1800</v>
      </c>
      <c r="Y20" s="16">
        <v>1750</v>
      </c>
      <c r="Z20" s="16">
        <v>1700</v>
      </c>
      <c r="AA20" s="16">
        <v>1600</v>
      </c>
      <c r="AB20" s="16">
        <v>1500</v>
      </c>
      <c r="AC20" s="16">
        <v>1450</v>
      </c>
      <c r="AD20" s="16">
        <v>1400</v>
      </c>
      <c r="AE20" s="16">
        <v>1300</v>
      </c>
    </row>
    <row r="21" spans="1:31" ht="12.5">
      <c r="A21" s="14" t="s">
        <v>146</v>
      </c>
      <c r="B21" s="14">
        <v>6307441</v>
      </c>
      <c r="C21" s="18" t="s">
        <v>140</v>
      </c>
      <c r="D21" s="16"/>
      <c r="E21" s="16">
        <v>290</v>
      </c>
      <c r="F21" s="16">
        <v>300</v>
      </c>
      <c r="G21" s="16">
        <v>310</v>
      </c>
      <c r="H21" s="16">
        <v>320</v>
      </c>
      <c r="I21" s="16">
        <v>330</v>
      </c>
      <c r="J21" s="16">
        <v>8.1999999999999993</v>
      </c>
      <c r="K21" s="17">
        <v>6.2</v>
      </c>
      <c r="L21" s="17">
        <v>6</v>
      </c>
      <c r="M21" s="17">
        <v>5.6</v>
      </c>
      <c r="N21" s="17">
        <v>5.2</v>
      </c>
      <c r="O21" s="17">
        <v>5.0999999999999996</v>
      </c>
      <c r="P21" s="17">
        <v>5</v>
      </c>
      <c r="Q21" s="17">
        <v>4.8</v>
      </c>
      <c r="R21" s="17">
        <v>4.5999999999999996</v>
      </c>
      <c r="S21" s="17">
        <v>4.4000000000000004</v>
      </c>
      <c r="T21" s="17">
        <v>4</v>
      </c>
      <c r="U21" s="16">
        <v>3.8</v>
      </c>
      <c r="V21" s="16">
        <v>3.5</v>
      </c>
      <c r="W21" s="16">
        <v>1400</v>
      </c>
      <c r="X21" s="16">
        <v>1350</v>
      </c>
      <c r="Y21" s="16">
        <v>1300</v>
      </c>
      <c r="Z21" s="16">
        <v>1250</v>
      </c>
      <c r="AA21" s="16">
        <v>1200</v>
      </c>
      <c r="AB21" s="16">
        <v>1100</v>
      </c>
      <c r="AC21" s="16">
        <v>1000</v>
      </c>
      <c r="AD21" s="16">
        <v>950</v>
      </c>
      <c r="AE21" s="16">
        <v>900</v>
      </c>
    </row>
    <row r="22" spans="1:31" ht="12.5">
      <c r="A22" s="14" t="s">
        <v>147</v>
      </c>
      <c r="B22" s="14">
        <v>6309514</v>
      </c>
      <c r="C22" s="15"/>
      <c r="D22" s="16"/>
      <c r="E22" s="16">
        <v>300</v>
      </c>
      <c r="F22" s="16">
        <v>370</v>
      </c>
      <c r="G22" s="16">
        <v>380</v>
      </c>
      <c r="H22" s="16">
        <v>390</v>
      </c>
      <c r="I22" s="16">
        <v>400</v>
      </c>
      <c r="J22" s="16">
        <v>10</v>
      </c>
      <c r="K22" s="17">
        <v>10</v>
      </c>
      <c r="L22" s="17">
        <v>9.5</v>
      </c>
      <c r="M22" s="17">
        <v>9</v>
      </c>
      <c r="N22" s="17">
        <v>8</v>
      </c>
      <c r="O22" s="17">
        <v>7.6</v>
      </c>
      <c r="P22" s="17">
        <v>7.4</v>
      </c>
      <c r="Q22" s="17">
        <v>7.2</v>
      </c>
      <c r="R22" s="17">
        <v>7</v>
      </c>
      <c r="S22" s="17">
        <v>6.8</v>
      </c>
      <c r="T22" s="17">
        <v>6.6</v>
      </c>
      <c r="U22" s="16">
        <v>6.4</v>
      </c>
      <c r="V22" s="16">
        <v>6.2</v>
      </c>
      <c r="W22" s="16">
        <v>2100</v>
      </c>
      <c r="X22" s="16">
        <v>2000</v>
      </c>
      <c r="Y22" s="16">
        <v>1900</v>
      </c>
      <c r="Z22" s="16">
        <v>1800</v>
      </c>
      <c r="AA22" s="16">
        <v>1700</v>
      </c>
      <c r="AB22" s="16">
        <v>1600</v>
      </c>
      <c r="AC22" s="16">
        <v>1500</v>
      </c>
      <c r="AD22" s="16">
        <v>1450</v>
      </c>
      <c r="AE22" s="16">
        <v>1400</v>
      </c>
    </row>
    <row r="23" spans="1:31" ht="12.5">
      <c r="A23" s="14" t="s">
        <v>148</v>
      </c>
      <c r="B23" s="14">
        <v>6307444</v>
      </c>
      <c r="C23" s="18" t="s">
        <v>140</v>
      </c>
      <c r="D23" s="16"/>
      <c r="E23" s="16">
        <v>290</v>
      </c>
      <c r="F23" s="16">
        <v>300</v>
      </c>
      <c r="G23" s="16">
        <v>310</v>
      </c>
      <c r="H23" s="16">
        <v>320</v>
      </c>
      <c r="I23" s="16">
        <v>330</v>
      </c>
      <c r="J23" s="16">
        <v>8.1999999999999993</v>
      </c>
      <c r="K23" s="17">
        <v>7</v>
      </c>
      <c r="L23" s="17">
        <v>6.5</v>
      </c>
      <c r="M23" s="17">
        <v>6</v>
      </c>
      <c r="N23" s="17">
        <v>5.5</v>
      </c>
      <c r="O23" s="17">
        <v>5</v>
      </c>
      <c r="P23" s="17">
        <v>4.9000000000000004</v>
      </c>
      <c r="Q23" s="17">
        <v>4.8</v>
      </c>
      <c r="R23" s="17">
        <v>4.7</v>
      </c>
      <c r="S23" s="17">
        <v>4.5999999999999996</v>
      </c>
      <c r="T23" s="17">
        <v>4.5</v>
      </c>
      <c r="U23" s="16">
        <v>4.4000000000000004</v>
      </c>
      <c r="V23" s="16">
        <v>4</v>
      </c>
      <c r="W23" s="16">
        <v>1500</v>
      </c>
      <c r="X23" s="16">
        <v>1400</v>
      </c>
      <c r="Y23" s="16">
        <v>1350</v>
      </c>
      <c r="Z23" s="16">
        <v>1300</v>
      </c>
      <c r="AA23" s="16">
        <v>1250</v>
      </c>
      <c r="AB23" s="16">
        <v>1200</v>
      </c>
      <c r="AC23" s="16">
        <v>1150</v>
      </c>
      <c r="AD23" s="16">
        <v>1100</v>
      </c>
      <c r="AE23" s="16">
        <v>1000</v>
      </c>
    </row>
    <row r="24" spans="1:31" ht="12.5">
      <c r="A24" s="14" t="s">
        <v>149</v>
      </c>
      <c r="B24" s="14">
        <v>6308047</v>
      </c>
      <c r="C24" s="15"/>
      <c r="D24" s="16"/>
      <c r="E24" s="16">
        <v>300</v>
      </c>
      <c r="F24" s="16">
        <v>400</v>
      </c>
      <c r="G24" s="16">
        <v>600</v>
      </c>
      <c r="H24" s="16">
        <v>790</v>
      </c>
      <c r="I24" s="16">
        <v>800</v>
      </c>
      <c r="J24" s="16">
        <v>20</v>
      </c>
      <c r="K24" s="17">
        <v>20</v>
      </c>
      <c r="L24" s="17">
        <v>19</v>
      </c>
      <c r="M24" s="17">
        <v>18.5</v>
      </c>
      <c r="N24" s="17">
        <v>18</v>
      </c>
      <c r="O24" s="17">
        <v>17.5</v>
      </c>
      <c r="P24" s="17">
        <v>17</v>
      </c>
      <c r="Q24" s="17">
        <v>16.5</v>
      </c>
      <c r="R24" s="17">
        <v>16.399999999999999</v>
      </c>
      <c r="S24" s="17">
        <v>16.3</v>
      </c>
      <c r="T24" s="17">
        <v>16.2</v>
      </c>
      <c r="U24" s="16">
        <v>16.100000000000001</v>
      </c>
      <c r="V24" s="16">
        <v>16</v>
      </c>
      <c r="W24" s="16">
        <v>4000</v>
      </c>
      <c r="X24" s="16">
        <v>3950</v>
      </c>
      <c r="Y24" s="16">
        <v>3900</v>
      </c>
      <c r="Z24" s="16">
        <v>3800</v>
      </c>
      <c r="AA24" s="16">
        <v>3700</v>
      </c>
      <c r="AB24" s="16">
        <v>3600</v>
      </c>
      <c r="AC24" s="16">
        <v>3500</v>
      </c>
      <c r="AD24" s="16">
        <v>3400</v>
      </c>
      <c r="AE24" s="16">
        <v>3300</v>
      </c>
    </row>
    <row r="25" spans="1:31" ht="12.5">
      <c r="A25" s="14" t="s">
        <v>150</v>
      </c>
      <c r="B25" s="14">
        <v>6308453</v>
      </c>
      <c r="C25" s="15"/>
      <c r="D25" s="16"/>
      <c r="E25" s="16">
        <v>300</v>
      </c>
      <c r="F25" s="16">
        <v>400</v>
      </c>
      <c r="G25" s="16">
        <v>460</v>
      </c>
      <c r="H25" s="16">
        <v>470</v>
      </c>
      <c r="I25" s="16">
        <v>480</v>
      </c>
      <c r="J25" s="16">
        <v>12</v>
      </c>
      <c r="K25" s="17">
        <v>12</v>
      </c>
      <c r="L25" s="17">
        <v>11.5</v>
      </c>
      <c r="M25" s="17">
        <v>11</v>
      </c>
      <c r="N25" s="17">
        <v>10.6</v>
      </c>
      <c r="O25" s="17">
        <v>10.199999999999999</v>
      </c>
      <c r="P25" s="17">
        <v>10</v>
      </c>
      <c r="Q25" s="17">
        <v>9.8000000000000007</v>
      </c>
      <c r="R25" s="17">
        <v>9.4</v>
      </c>
      <c r="S25" s="17">
        <v>9.1999999999999993</v>
      </c>
      <c r="T25" s="17">
        <v>9</v>
      </c>
      <c r="U25" s="16">
        <v>8.6</v>
      </c>
      <c r="V25" s="16">
        <v>8.4</v>
      </c>
      <c r="W25" s="16">
        <v>2600</v>
      </c>
      <c r="X25" s="16">
        <v>2500</v>
      </c>
      <c r="Y25" s="16">
        <v>2400</v>
      </c>
      <c r="Z25" s="16">
        <v>2300</v>
      </c>
      <c r="AA25" s="16">
        <v>2250</v>
      </c>
      <c r="AB25" s="16">
        <v>2200</v>
      </c>
      <c r="AC25" s="16">
        <v>2150</v>
      </c>
      <c r="AD25" s="16">
        <v>2100</v>
      </c>
      <c r="AE25" s="16">
        <v>2050</v>
      </c>
    </row>
    <row r="26" spans="1:31" ht="12.5">
      <c r="A26" s="14" t="s">
        <v>151</v>
      </c>
      <c r="B26" s="14">
        <v>6309539</v>
      </c>
      <c r="C26" s="18" t="s">
        <v>140</v>
      </c>
      <c r="D26" s="16"/>
      <c r="E26" s="16">
        <v>300</v>
      </c>
      <c r="F26" s="16">
        <v>400</v>
      </c>
      <c r="G26" s="16">
        <v>600</v>
      </c>
      <c r="H26" s="16">
        <v>670</v>
      </c>
      <c r="I26" s="16">
        <v>680</v>
      </c>
      <c r="J26" s="16">
        <v>17</v>
      </c>
      <c r="K26" s="17">
        <v>17</v>
      </c>
      <c r="L26" s="17">
        <v>16.5</v>
      </c>
      <c r="M26" s="17">
        <v>16</v>
      </c>
      <c r="N26" s="17">
        <v>15.5</v>
      </c>
      <c r="O26" s="17">
        <v>15</v>
      </c>
      <c r="P26" s="17">
        <v>14.7</v>
      </c>
      <c r="Q26" s="17">
        <v>14.3</v>
      </c>
      <c r="R26" s="17">
        <v>14</v>
      </c>
      <c r="S26" s="17">
        <v>13.5</v>
      </c>
      <c r="T26" s="17">
        <v>13</v>
      </c>
      <c r="U26" s="16">
        <v>12</v>
      </c>
      <c r="V26" s="16">
        <v>11</v>
      </c>
      <c r="W26" s="16">
        <v>3800</v>
      </c>
      <c r="X26" s="16">
        <v>3600</v>
      </c>
      <c r="Y26" s="16">
        <v>3400</v>
      </c>
      <c r="Z26" s="16">
        <v>3300</v>
      </c>
      <c r="AA26" s="16">
        <v>3200</v>
      </c>
      <c r="AB26" s="16">
        <v>3100</v>
      </c>
      <c r="AC26" s="16">
        <v>3000</v>
      </c>
      <c r="AD26" s="16">
        <v>2900</v>
      </c>
      <c r="AE26" s="16">
        <v>2800</v>
      </c>
    </row>
    <row r="27" spans="1:31" ht="12.5">
      <c r="A27" s="14" t="s">
        <v>152</v>
      </c>
      <c r="B27" s="14">
        <v>6309438</v>
      </c>
      <c r="C27" s="18" t="s">
        <v>140</v>
      </c>
      <c r="D27" s="16"/>
      <c r="E27" s="16">
        <v>300</v>
      </c>
      <c r="F27" s="16">
        <v>400</v>
      </c>
      <c r="G27" s="16">
        <v>460</v>
      </c>
      <c r="H27" s="16">
        <v>470</v>
      </c>
      <c r="I27" s="16">
        <v>480</v>
      </c>
      <c r="J27" s="16">
        <v>12</v>
      </c>
      <c r="K27" s="17">
        <v>12</v>
      </c>
      <c r="L27" s="17">
        <v>11.5</v>
      </c>
      <c r="M27" s="17">
        <v>11</v>
      </c>
      <c r="N27" s="17">
        <v>10.5</v>
      </c>
      <c r="O27" s="17">
        <v>10</v>
      </c>
      <c r="P27" s="17">
        <v>9.5</v>
      </c>
      <c r="Q27" s="17">
        <v>9</v>
      </c>
      <c r="R27" s="17">
        <v>8.5</v>
      </c>
      <c r="S27" s="17">
        <v>8.4</v>
      </c>
      <c r="T27" s="17">
        <v>8.3000000000000007</v>
      </c>
      <c r="U27" s="16">
        <v>8.1999999999999993</v>
      </c>
      <c r="V27" s="16">
        <v>8</v>
      </c>
      <c r="W27" s="16">
        <v>2600</v>
      </c>
      <c r="X27" s="16">
        <v>2500</v>
      </c>
      <c r="Y27" s="16">
        <v>2400</v>
      </c>
      <c r="Z27" s="16">
        <v>2300</v>
      </c>
      <c r="AA27" s="16">
        <v>2200</v>
      </c>
      <c r="AB27" s="16">
        <v>2100</v>
      </c>
      <c r="AC27" s="16">
        <v>2000</v>
      </c>
      <c r="AD27" s="16">
        <v>1950</v>
      </c>
      <c r="AE27" s="16">
        <v>1900</v>
      </c>
    </row>
    <row r="28" spans="1:31" ht="12.5">
      <c r="A28" s="14" t="s">
        <v>153</v>
      </c>
      <c r="B28" s="14">
        <v>6308000</v>
      </c>
      <c r="C28" s="15"/>
      <c r="D28" s="16"/>
      <c r="E28" s="16">
        <v>300</v>
      </c>
      <c r="F28" s="16">
        <v>400</v>
      </c>
      <c r="G28" s="16">
        <v>600</v>
      </c>
      <c r="H28" s="16">
        <v>630</v>
      </c>
      <c r="I28" s="16">
        <v>640</v>
      </c>
      <c r="J28" s="16">
        <v>16</v>
      </c>
      <c r="K28" s="17">
        <v>15.7</v>
      </c>
      <c r="L28" s="17">
        <v>15.4</v>
      </c>
      <c r="M28" s="17">
        <v>15.2</v>
      </c>
      <c r="N28" s="17">
        <v>15</v>
      </c>
      <c r="O28" s="17">
        <v>14.8</v>
      </c>
      <c r="P28" s="17">
        <v>14.5</v>
      </c>
      <c r="Q28" s="17">
        <v>14.2</v>
      </c>
      <c r="R28" s="17">
        <v>14</v>
      </c>
      <c r="S28" s="17">
        <v>13.7</v>
      </c>
      <c r="T28" s="17">
        <v>13.5</v>
      </c>
      <c r="U28" s="16">
        <v>13.3</v>
      </c>
      <c r="V28" s="16">
        <v>13</v>
      </c>
      <c r="W28" s="16">
        <v>3500</v>
      </c>
      <c r="X28" s="16">
        <v>3000</v>
      </c>
      <c r="Y28" s="16">
        <v>2950</v>
      </c>
      <c r="Z28" s="16">
        <v>2900</v>
      </c>
      <c r="AA28" s="16">
        <v>2850</v>
      </c>
      <c r="AB28" s="16">
        <v>2800</v>
      </c>
      <c r="AC28" s="16">
        <v>2750</v>
      </c>
      <c r="AD28" s="16">
        <v>2700</v>
      </c>
      <c r="AE28" s="16">
        <v>2650</v>
      </c>
    </row>
    <row r="29" spans="1:31" ht="12.5">
      <c r="A29" s="14" t="s">
        <v>154</v>
      </c>
      <c r="B29" s="14">
        <v>6308359</v>
      </c>
      <c r="C29" s="15"/>
      <c r="D29" s="16"/>
      <c r="E29" s="16">
        <v>290</v>
      </c>
      <c r="F29" s="16">
        <v>300</v>
      </c>
      <c r="G29" s="16">
        <v>310</v>
      </c>
      <c r="H29" s="16">
        <v>320</v>
      </c>
      <c r="I29" s="16">
        <v>330</v>
      </c>
      <c r="J29" s="16">
        <v>8.1999999999999993</v>
      </c>
      <c r="K29" s="17">
        <v>7</v>
      </c>
      <c r="L29" s="17">
        <v>6.5</v>
      </c>
      <c r="M29" s="17">
        <v>6</v>
      </c>
      <c r="N29" s="17">
        <v>5.9</v>
      </c>
      <c r="O29" s="17">
        <v>5.8</v>
      </c>
      <c r="P29" s="17">
        <v>5.6</v>
      </c>
      <c r="Q29" s="17">
        <v>5.4</v>
      </c>
      <c r="R29" s="17">
        <v>5.2</v>
      </c>
      <c r="S29" s="17">
        <v>5</v>
      </c>
      <c r="T29" s="17">
        <v>4.8</v>
      </c>
      <c r="U29" s="16">
        <v>4.5999999999999996</v>
      </c>
      <c r="V29" s="16">
        <v>4.4000000000000004</v>
      </c>
      <c r="W29" s="16">
        <v>1400</v>
      </c>
      <c r="X29" s="16">
        <v>1300</v>
      </c>
      <c r="Y29" s="16">
        <v>1250</v>
      </c>
      <c r="Z29" s="16">
        <v>1230</v>
      </c>
      <c r="AA29" s="16">
        <v>1200</v>
      </c>
      <c r="AB29" s="16">
        <v>1150</v>
      </c>
      <c r="AC29" s="16">
        <v>1100</v>
      </c>
      <c r="AD29" s="16">
        <v>1050</v>
      </c>
      <c r="AE29" s="16">
        <v>1000</v>
      </c>
    </row>
    <row r="30" spans="1:31" ht="12.5">
      <c r="A30" s="14" t="s">
        <v>155</v>
      </c>
      <c r="B30" s="14">
        <v>6308383</v>
      </c>
      <c r="C30" s="15"/>
      <c r="D30" s="16"/>
      <c r="E30" s="16">
        <v>300</v>
      </c>
      <c r="F30" s="16">
        <v>400</v>
      </c>
      <c r="G30" s="16">
        <v>460</v>
      </c>
      <c r="H30" s="16">
        <v>470</v>
      </c>
      <c r="I30" s="16">
        <v>480</v>
      </c>
      <c r="J30" s="16">
        <v>12</v>
      </c>
      <c r="K30" s="17">
        <v>11.5</v>
      </c>
      <c r="L30" s="17">
        <v>11</v>
      </c>
      <c r="M30" s="17">
        <v>10.5</v>
      </c>
      <c r="N30" s="17">
        <v>10</v>
      </c>
      <c r="O30" s="17">
        <v>9.5</v>
      </c>
      <c r="P30" s="17">
        <v>9</v>
      </c>
      <c r="Q30" s="17">
        <v>8.5</v>
      </c>
      <c r="R30" s="17">
        <v>8.4</v>
      </c>
      <c r="S30" s="17">
        <v>8.3000000000000007</v>
      </c>
      <c r="T30" s="17">
        <v>8.1999999999999993</v>
      </c>
      <c r="U30" s="16">
        <v>8.1</v>
      </c>
      <c r="V30" s="16">
        <v>8</v>
      </c>
      <c r="W30" s="16">
        <v>2500</v>
      </c>
      <c r="X30" s="16">
        <v>2400</v>
      </c>
      <c r="Y30" s="16">
        <v>2300</v>
      </c>
      <c r="Z30" s="16">
        <v>2200</v>
      </c>
      <c r="AA30" s="16">
        <v>2150</v>
      </c>
      <c r="AB30" s="16">
        <v>2100</v>
      </c>
      <c r="AC30" s="16">
        <v>2050</v>
      </c>
      <c r="AD30" s="16">
        <v>2000</v>
      </c>
      <c r="AE30" s="16">
        <v>1900</v>
      </c>
    </row>
    <row r="31" spans="1:31" ht="12.5">
      <c r="A31" s="14" t="s">
        <v>156</v>
      </c>
      <c r="B31" s="14">
        <v>6308402</v>
      </c>
      <c r="C31" s="18" t="s">
        <v>140</v>
      </c>
      <c r="D31" s="16"/>
      <c r="E31" s="16">
        <v>290</v>
      </c>
      <c r="F31" s="16">
        <v>300</v>
      </c>
      <c r="G31" s="16">
        <v>310</v>
      </c>
      <c r="H31" s="16">
        <v>320</v>
      </c>
      <c r="I31" s="16">
        <v>330</v>
      </c>
      <c r="J31" s="16">
        <v>8.1999999999999993</v>
      </c>
      <c r="K31" s="17">
        <v>8</v>
      </c>
      <c r="L31" s="17">
        <v>7.5</v>
      </c>
      <c r="M31" s="17">
        <v>7</v>
      </c>
      <c r="N31" s="17">
        <v>6.9</v>
      </c>
      <c r="O31" s="17">
        <v>6.8</v>
      </c>
      <c r="P31" s="17">
        <v>6.6</v>
      </c>
      <c r="Q31" s="17">
        <v>6.4</v>
      </c>
      <c r="R31" s="17">
        <v>6.2</v>
      </c>
      <c r="S31" s="17">
        <v>6</v>
      </c>
      <c r="T31" s="17">
        <v>5.8</v>
      </c>
      <c r="U31" s="16">
        <v>5.4</v>
      </c>
      <c r="V31" s="16">
        <v>5.2</v>
      </c>
      <c r="W31" s="16">
        <v>1600</v>
      </c>
      <c r="X31" s="16">
        <v>1500</v>
      </c>
      <c r="Y31" s="16">
        <v>1450</v>
      </c>
      <c r="Z31" s="16">
        <v>1400</v>
      </c>
      <c r="AA31" s="16">
        <v>1350</v>
      </c>
      <c r="AB31" s="16">
        <v>1300</v>
      </c>
      <c r="AC31" s="16">
        <v>1280</v>
      </c>
      <c r="AD31" s="16">
        <v>1260</v>
      </c>
      <c r="AE31" s="16">
        <v>1250</v>
      </c>
    </row>
    <row r="32" spans="1:31" ht="12.5">
      <c r="A32" s="14" t="s">
        <v>157</v>
      </c>
      <c r="B32" s="14">
        <v>6308416</v>
      </c>
      <c r="C32" s="15"/>
      <c r="D32" s="16"/>
      <c r="E32" s="16">
        <v>300</v>
      </c>
      <c r="F32" s="16">
        <v>400</v>
      </c>
      <c r="G32" s="16">
        <v>460</v>
      </c>
      <c r="H32" s="16">
        <v>470</v>
      </c>
      <c r="I32" s="16">
        <v>480</v>
      </c>
      <c r="J32" s="16">
        <v>12</v>
      </c>
      <c r="K32" s="17">
        <v>11.5</v>
      </c>
      <c r="L32" s="17">
        <v>11</v>
      </c>
      <c r="M32" s="17">
        <v>10.5</v>
      </c>
      <c r="N32" s="17">
        <v>10</v>
      </c>
      <c r="O32" s="17">
        <v>9.5</v>
      </c>
      <c r="P32" s="17">
        <v>9</v>
      </c>
      <c r="Q32" s="17">
        <v>8.5</v>
      </c>
      <c r="R32" s="17">
        <v>8.4</v>
      </c>
      <c r="S32" s="17">
        <v>8.3000000000000007</v>
      </c>
      <c r="T32" s="17">
        <v>8.1999999999999993</v>
      </c>
      <c r="U32" s="16">
        <v>8.1</v>
      </c>
      <c r="V32" s="16">
        <v>8</v>
      </c>
      <c r="W32" s="16">
        <v>2500</v>
      </c>
      <c r="X32" s="16">
        <v>2400</v>
      </c>
      <c r="Y32" s="16">
        <v>2300</v>
      </c>
      <c r="Z32" s="16">
        <v>2200</v>
      </c>
      <c r="AA32" s="16">
        <v>2150</v>
      </c>
      <c r="AB32" s="16">
        <v>2100</v>
      </c>
      <c r="AC32" s="16">
        <v>2050</v>
      </c>
      <c r="AD32" s="16">
        <v>2000</v>
      </c>
      <c r="AE32" s="16">
        <v>1900</v>
      </c>
    </row>
    <row r="33" spans="1:31" ht="12.5">
      <c r="A33" s="14" t="s">
        <v>158</v>
      </c>
      <c r="B33" s="14">
        <v>6307307</v>
      </c>
      <c r="C33" s="18" t="s">
        <v>140</v>
      </c>
      <c r="D33" s="16"/>
      <c r="E33" s="16">
        <v>290</v>
      </c>
      <c r="F33" s="16">
        <v>300</v>
      </c>
      <c r="G33" s="16">
        <v>310</v>
      </c>
      <c r="H33" s="16">
        <v>320</v>
      </c>
      <c r="I33" s="16">
        <v>330</v>
      </c>
      <c r="J33" s="16">
        <v>8.1999999999999993</v>
      </c>
      <c r="K33" s="17">
        <v>8</v>
      </c>
      <c r="L33" s="17">
        <v>7.8</v>
      </c>
      <c r="M33" s="17">
        <v>7.6</v>
      </c>
      <c r="N33" s="17">
        <v>7.4</v>
      </c>
      <c r="O33" s="17">
        <v>7.2</v>
      </c>
      <c r="P33" s="17">
        <v>7</v>
      </c>
      <c r="Q33" s="17">
        <v>6.8</v>
      </c>
      <c r="R33" s="17">
        <v>6.6</v>
      </c>
      <c r="S33" s="17">
        <v>6.4</v>
      </c>
      <c r="T33" s="17">
        <v>6.2</v>
      </c>
      <c r="U33" s="16">
        <v>6.1</v>
      </c>
      <c r="V33" s="16">
        <v>6</v>
      </c>
      <c r="W33" s="16">
        <v>2000</v>
      </c>
      <c r="X33" s="16">
        <v>1900</v>
      </c>
      <c r="Y33" s="16">
        <v>1800</v>
      </c>
      <c r="Z33" s="16">
        <v>1700</v>
      </c>
      <c r="AA33" s="16">
        <v>1600</v>
      </c>
      <c r="AB33" s="16">
        <v>1500</v>
      </c>
      <c r="AC33" s="16">
        <v>1400</v>
      </c>
      <c r="AD33" s="16">
        <v>1300</v>
      </c>
      <c r="AE33" s="16">
        <v>1200</v>
      </c>
    </row>
    <row r="34" spans="1:31" ht="12.5">
      <c r="A34" s="14" t="s">
        <v>159</v>
      </c>
      <c r="B34" s="14">
        <v>6309637</v>
      </c>
      <c r="C34" s="15"/>
      <c r="D34" s="16"/>
      <c r="E34" s="16">
        <v>290</v>
      </c>
      <c r="F34" s="16">
        <v>300</v>
      </c>
      <c r="G34" s="16">
        <v>310</v>
      </c>
      <c r="H34" s="16">
        <v>320</v>
      </c>
      <c r="I34" s="16">
        <v>330</v>
      </c>
      <c r="J34" s="16">
        <v>8.1999999999999993</v>
      </c>
      <c r="K34" s="17">
        <v>8</v>
      </c>
      <c r="L34" s="17">
        <v>7.5</v>
      </c>
      <c r="M34" s="17">
        <v>7</v>
      </c>
      <c r="N34" s="17">
        <v>6.5</v>
      </c>
      <c r="O34" s="17">
        <v>6</v>
      </c>
      <c r="P34" s="17">
        <v>5.8</v>
      </c>
      <c r="Q34" s="17">
        <v>5.7</v>
      </c>
      <c r="R34" s="17">
        <v>5.6</v>
      </c>
      <c r="S34" s="17">
        <v>5.5</v>
      </c>
      <c r="T34" s="17">
        <v>5.4</v>
      </c>
      <c r="U34" s="16">
        <v>5.2</v>
      </c>
      <c r="V34" s="16">
        <v>5</v>
      </c>
      <c r="W34" s="16">
        <v>1700</v>
      </c>
      <c r="X34" s="16">
        <v>1600</v>
      </c>
      <c r="Y34" s="16">
        <v>1500</v>
      </c>
      <c r="Z34" s="16">
        <v>1400</v>
      </c>
      <c r="AA34" s="16">
        <v>1350</v>
      </c>
      <c r="AB34" s="16">
        <v>1300</v>
      </c>
      <c r="AC34" s="16">
        <v>1290</v>
      </c>
      <c r="AD34" s="16">
        <v>1280</v>
      </c>
      <c r="AE34" s="16">
        <v>1250</v>
      </c>
    </row>
    <row r="35" spans="1:31" ht="12.5">
      <c r="A35" s="14" t="s">
        <v>160</v>
      </c>
      <c r="B35" s="14">
        <v>6309814</v>
      </c>
      <c r="C35" s="15"/>
      <c r="D35" s="16"/>
      <c r="E35" s="16">
        <v>300</v>
      </c>
      <c r="F35" s="16">
        <v>330</v>
      </c>
      <c r="G35" s="16">
        <v>340</v>
      </c>
      <c r="H35" s="16">
        <v>350</v>
      </c>
      <c r="I35" s="16">
        <v>360</v>
      </c>
      <c r="J35" s="16">
        <v>9</v>
      </c>
      <c r="K35" s="17">
        <v>9</v>
      </c>
      <c r="L35" s="17">
        <v>8.5</v>
      </c>
      <c r="M35" s="17">
        <v>8</v>
      </c>
      <c r="N35" s="17">
        <v>7.5</v>
      </c>
      <c r="O35" s="17">
        <v>7</v>
      </c>
      <c r="P35" s="17">
        <v>6.5</v>
      </c>
      <c r="Q35" s="17">
        <v>6</v>
      </c>
      <c r="R35" s="17">
        <v>5.6</v>
      </c>
      <c r="S35" s="17">
        <v>5.5</v>
      </c>
      <c r="T35" s="17">
        <v>5.4</v>
      </c>
      <c r="U35" s="16">
        <v>5.2</v>
      </c>
      <c r="V35" s="16">
        <v>5</v>
      </c>
      <c r="W35" s="16">
        <v>2000</v>
      </c>
      <c r="X35" s="16">
        <v>1900</v>
      </c>
      <c r="Y35" s="16">
        <v>1800</v>
      </c>
      <c r="Z35" s="16">
        <v>1700</v>
      </c>
      <c r="AA35" s="16">
        <v>1500</v>
      </c>
      <c r="AB35" s="16">
        <v>1450</v>
      </c>
      <c r="AC35" s="16">
        <v>1400</v>
      </c>
      <c r="AD35" s="16">
        <v>1350</v>
      </c>
      <c r="AE35" s="16">
        <v>1300</v>
      </c>
    </row>
    <row r="36" spans="1:31" ht="12.5">
      <c r="A36" s="14" t="s">
        <v>161</v>
      </c>
      <c r="B36" s="14">
        <v>6308433</v>
      </c>
      <c r="C36" s="15"/>
      <c r="D36" s="16"/>
      <c r="E36" s="16">
        <v>290</v>
      </c>
      <c r="F36" s="16">
        <v>300</v>
      </c>
      <c r="G36" s="16">
        <v>310</v>
      </c>
      <c r="H36" s="16">
        <v>320</v>
      </c>
      <c r="I36" s="16">
        <v>330</v>
      </c>
      <c r="J36" s="16">
        <v>8.1999999999999993</v>
      </c>
      <c r="K36" s="17">
        <v>7</v>
      </c>
      <c r="L36" s="17">
        <v>6.5</v>
      </c>
      <c r="M36" s="17">
        <v>6</v>
      </c>
      <c r="N36" s="17">
        <v>5.9</v>
      </c>
      <c r="O36" s="17">
        <v>5.8</v>
      </c>
      <c r="P36" s="17">
        <v>5.6</v>
      </c>
      <c r="Q36" s="17">
        <v>5.4</v>
      </c>
      <c r="R36" s="17">
        <v>5.2</v>
      </c>
      <c r="S36" s="17">
        <v>5</v>
      </c>
      <c r="T36" s="17">
        <v>4.8</v>
      </c>
      <c r="U36" s="16">
        <v>4.5999999999999996</v>
      </c>
      <c r="V36" s="16">
        <v>4.4000000000000004</v>
      </c>
      <c r="W36" s="16">
        <v>1400</v>
      </c>
      <c r="X36" s="16">
        <v>1300</v>
      </c>
      <c r="Y36" s="16">
        <v>1250</v>
      </c>
      <c r="Z36" s="16">
        <v>1230</v>
      </c>
      <c r="AA36" s="16">
        <v>1200</v>
      </c>
      <c r="AB36" s="16">
        <v>1150</v>
      </c>
      <c r="AC36" s="16">
        <v>1100</v>
      </c>
      <c r="AD36" s="16">
        <v>1050</v>
      </c>
      <c r="AE36" s="16">
        <v>1000</v>
      </c>
    </row>
    <row r="37" spans="1:31" ht="12.5">
      <c r="A37" s="14" t="s">
        <v>162</v>
      </c>
      <c r="B37" s="14">
        <v>6307417</v>
      </c>
      <c r="C37" s="15"/>
      <c r="D37" s="16"/>
      <c r="E37" s="16">
        <v>290</v>
      </c>
      <c r="F37" s="16">
        <v>300</v>
      </c>
      <c r="G37" s="16">
        <v>310</v>
      </c>
      <c r="H37" s="16">
        <v>320</v>
      </c>
      <c r="I37" s="16">
        <v>330</v>
      </c>
      <c r="J37" s="16">
        <v>8.1999999999999993</v>
      </c>
      <c r="K37" s="17">
        <v>7.5</v>
      </c>
      <c r="L37" s="17">
        <v>7</v>
      </c>
      <c r="M37" s="17">
        <v>6.4</v>
      </c>
      <c r="N37" s="17">
        <v>6.2</v>
      </c>
      <c r="O37" s="17">
        <v>6</v>
      </c>
      <c r="P37" s="17">
        <v>5.8</v>
      </c>
      <c r="Q37" s="17">
        <v>5.6</v>
      </c>
      <c r="R37" s="17">
        <v>5.4</v>
      </c>
      <c r="S37" s="17">
        <v>5.2</v>
      </c>
      <c r="T37" s="17">
        <v>5</v>
      </c>
      <c r="U37" s="16">
        <v>4.8</v>
      </c>
      <c r="V37" s="16">
        <v>4.5999999999999996</v>
      </c>
      <c r="W37" s="16">
        <v>1500</v>
      </c>
      <c r="X37" s="16">
        <v>1400</v>
      </c>
      <c r="Y37" s="16">
        <v>1350</v>
      </c>
      <c r="Z37" s="16">
        <v>1300</v>
      </c>
      <c r="AA37" s="16">
        <v>1250</v>
      </c>
      <c r="AB37" s="16">
        <v>1200</v>
      </c>
      <c r="AC37" s="16">
        <v>1150</v>
      </c>
      <c r="AD37" s="16">
        <v>1100</v>
      </c>
      <c r="AE37" s="16">
        <v>1000</v>
      </c>
    </row>
    <row r="38" spans="1:31" ht="12.5">
      <c r="A38" s="14" t="s">
        <v>163</v>
      </c>
      <c r="B38" s="14">
        <v>6308451</v>
      </c>
      <c r="C38" s="15"/>
      <c r="D38" s="16"/>
      <c r="E38" s="16">
        <v>300</v>
      </c>
      <c r="F38" s="16">
        <v>400</v>
      </c>
      <c r="G38" s="16">
        <v>420</v>
      </c>
      <c r="H38" s="16">
        <v>430</v>
      </c>
      <c r="I38" s="16">
        <v>440</v>
      </c>
      <c r="J38" s="16">
        <v>11</v>
      </c>
      <c r="K38" s="17">
        <v>11</v>
      </c>
      <c r="L38" s="17">
        <v>10.9</v>
      </c>
      <c r="M38" s="17">
        <v>10.8</v>
      </c>
      <c r="N38" s="17">
        <v>10.6</v>
      </c>
      <c r="O38" s="17">
        <v>10.4</v>
      </c>
      <c r="P38" s="17">
        <v>10.199999999999999</v>
      </c>
      <c r="Q38" s="17">
        <v>10</v>
      </c>
      <c r="R38" s="17">
        <v>9.8000000000000007</v>
      </c>
      <c r="S38" s="17">
        <v>9.6</v>
      </c>
      <c r="T38" s="17">
        <v>9.4</v>
      </c>
      <c r="U38" s="16">
        <v>9.1999999999999993</v>
      </c>
      <c r="V38" s="16">
        <v>9</v>
      </c>
      <c r="W38" s="16">
        <v>2600</v>
      </c>
      <c r="X38" s="16">
        <v>2500</v>
      </c>
      <c r="Y38" s="16">
        <v>2400</v>
      </c>
      <c r="Z38" s="16">
        <v>2350</v>
      </c>
      <c r="AA38" s="16">
        <v>2300</v>
      </c>
      <c r="AB38" s="16">
        <v>2250</v>
      </c>
      <c r="AC38" s="16">
        <v>2200</v>
      </c>
      <c r="AD38" s="16">
        <v>2150</v>
      </c>
      <c r="AE38" s="16">
        <v>2100</v>
      </c>
    </row>
    <row r="39" spans="1:31" ht="12.5">
      <c r="A39" s="14" t="s">
        <v>164</v>
      </c>
      <c r="B39" s="14">
        <v>6309803</v>
      </c>
      <c r="C39" s="15"/>
      <c r="D39" s="16"/>
      <c r="E39" s="16">
        <v>300</v>
      </c>
      <c r="F39" s="16">
        <v>330</v>
      </c>
      <c r="G39" s="16">
        <v>340</v>
      </c>
      <c r="H39" s="16">
        <v>350</v>
      </c>
      <c r="I39" s="16">
        <v>360</v>
      </c>
      <c r="J39" s="16">
        <v>9</v>
      </c>
      <c r="K39" s="17">
        <v>9</v>
      </c>
      <c r="L39" s="17">
        <v>8.5</v>
      </c>
      <c r="M39" s="17">
        <v>8</v>
      </c>
      <c r="N39" s="17">
        <v>7</v>
      </c>
      <c r="O39" s="17">
        <v>6.5</v>
      </c>
      <c r="P39" s="17">
        <v>6</v>
      </c>
      <c r="Q39" s="17">
        <v>5.8</v>
      </c>
      <c r="R39" s="17">
        <v>5.6</v>
      </c>
      <c r="S39" s="17">
        <v>5.4</v>
      </c>
      <c r="T39" s="17">
        <v>5.2</v>
      </c>
      <c r="U39" s="16">
        <v>5</v>
      </c>
      <c r="V39" s="16">
        <v>5</v>
      </c>
      <c r="W39" s="16">
        <v>2000</v>
      </c>
      <c r="X39" s="16">
        <v>1900</v>
      </c>
      <c r="Y39" s="16">
        <v>1800</v>
      </c>
      <c r="Z39" s="16">
        <v>1600</v>
      </c>
      <c r="AA39" s="16">
        <v>1400</v>
      </c>
      <c r="AB39" s="16">
        <v>1300</v>
      </c>
      <c r="AC39" s="16">
        <v>1200</v>
      </c>
      <c r="AD39" s="16">
        <v>1100</v>
      </c>
      <c r="AE39" s="16">
        <v>1000</v>
      </c>
    </row>
    <row r="40" spans="1:31" ht="12.5">
      <c r="A40" s="14" t="s">
        <v>165</v>
      </c>
      <c r="B40" s="14">
        <v>6307360</v>
      </c>
      <c r="C40" s="15"/>
      <c r="D40" s="16"/>
      <c r="E40" s="16">
        <v>300</v>
      </c>
      <c r="F40" s="16">
        <v>370</v>
      </c>
      <c r="G40" s="16">
        <v>380</v>
      </c>
      <c r="H40" s="16">
        <v>390</v>
      </c>
      <c r="I40" s="16">
        <v>400</v>
      </c>
      <c r="J40" s="16">
        <v>10</v>
      </c>
      <c r="K40" s="17">
        <v>10</v>
      </c>
      <c r="L40" s="17">
        <v>9</v>
      </c>
      <c r="M40" s="17">
        <v>8.8000000000000007</v>
      </c>
      <c r="N40" s="17">
        <v>8.6</v>
      </c>
      <c r="O40" s="17">
        <v>8.4</v>
      </c>
      <c r="P40" s="17">
        <v>8.1999999999999993</v>
      </c>
      <c r="Q40" s="17">
        <v>8</v>
      </c>
      <c r="R40" s="17">
        <v>7.8</v>
      </c>
      <c r="S40" s="17">
        <v>7.6</v>
      </c>
      <c r="T40" s="17">
        <v>7.4</v>
      </c>
      <c r="U40" s="16">
        <v>7.2</v>
      </c>
      <c r="V40" s="16">
        <v>7</v>
      </c>
      <c r="W40" s="16">
        <v>2000</v>
      </c>
      <c r="X40" s="16">
        <v>1950</v>
      </c>
      <c r="Y40" s="16">
        <v>1900</v>
      </c>
      <c r="Z40" s="16">
        <v>1850</v>
      </c>
      <c r="AA40" s="16">
        <v>1800</v>
      </c>
      <c r="AB40" s="16">
        <v>1750</v>
      </c>
      <c r="AC40" s="16">
        <v>1700</v>
      </c>
      <c r="AD40" s="16">
        <v>1680</v>
      </c>
      <c r="AE40" s="16">
        <v>1650</v>
      </c>
    </row>
    <row r="41" spans="1:31" ht="12.5">
      <c r="A41" s="14" t="s">
        <v>166</v>
      </c>
      <c r="B41" s="14">
        <v>6308558</v>
      </c>
      <c r="C41" s="15"/>
      <c r="D41" s="16">
        <v>3640</v>
      </c>
      <c r="E41" s="16"/>
      <c r="F41" s="16"/>
      <c r="G41" s="16"/>
      <c r="H41" s="16"/>
      <c r="I41" s="16"/>
      <c r="J41" s="16"/>
      <c r="K41" s="17"/>
      <c r="L41" s="17">
        <v>6.1</v>
      </c>
      <c r="M41" s="17">
        <v>4.5999999999999996</v>
      </c>
      <c r="N41" s="17">
        <v>4</v>
      </c>
      <c r="O41" s="17">
        <v>3.6</v>
      </c>
      <c r="P41" s="17">
        <v>2.8</v>
      </c>
      <c r="Q41" s="17">
        <v>2.1</v>
      </c>
      <c r="R41" s="17">
        <v>1.9</v>
      </c>
      <c r="S41" s="17">
        <v>1.7</v>
      </c>
      <c r="T41" s="17">
        <v>1.4</v>
      </c>
      <c r="U41" s="16">
        <v>1</v>
      </c>
      <c r="V41" s="16">
        <v>1</v>
      </c>
      <c r="W41" s="16"/>
      <c r="X41" s="16">
        <v>1160</v>
      </c>
      <c r="Y41" s="16">
        <v>1050</v>
      </c>
      <c r="Z41" s="16">
        <v>660</v>
      </c>
      <c r="AA41" s="16">
        <v>600</v>
      </c>
      <c r="AB41" s="16">
        <v>510</v>
      </c>
      <c r="AC41" s="16">
        <v>420</v>
      </c>
      <c r="AD41" s="16">
        <v>280</v>
      </c>
      <c r="AE41" s="16">
        <v>260</v>
      </c>
    </row>
    <row r="42" spans="1:31" ht="12.5">
      <c r="A42" s="14" t="s">
        <v>167</v>
      </c>
      <c r="B42" s="14">
        <v>6307390</v>
      </c>
      <c r="C42" s="18" t="s">
        <v>140</v>
      </c>
      <c r="D42" s="16"/>
      <c r="E42" s="16">
        <v>290</v>
      </c>
      <c r="F42" s="16">
        <v>300</v>
      </c>
      <c r="G42" s="16">
        <v>310</v>
      </c>
      <c r="H42" s="16">
        <v>320</v>
      </c>
      <c r="I42" s="16">
        <v>330</v>
      </c>
      <c r="J42" s="16">
        <v>8.1999999999999993</v>
      </c>
      <c r="K42" s="17">
        <v>7.9</v>
      </c>
      <c r="L42" s="17">
        <v>7.6</v>
      </c>
      <c r="M42" s="17">
        <v>7.5</v>
      </c>
      <c r="N42" s="17">
        <v>7.4</v>
      </c>
      <c r="O42" s="17">
        <v>7.3</v>
      </c>
      <c r="P42" s="17">
        <v>7.2</v>
      </c>
      <c r="Q42" s="17">
        <v>7.1</v>
      </c>
      <c r="R42" s="17">
        <v>6.9</v>
      </c>
      <c r="S42" s="17">
        <v>6.8</v>
      </c>
      <c r="T42" s="17">
        <v>6.7</v>
      </c>
      <c r="U42" s="16">
        <v>6.6</v>
      </c>
      <c r="V42" s="16">
        <v>6.5</v>
      </c>
      <c r="W42" s="16">
        <v>2000</v>
      </c>
      <c r="X42" s="16">
        <v>1900</v>
      </c>
      <c r="Y42" s="16">
        <v>1850</v>
      </c>
      <c r="Z42" s="16">
        <v>1830</v>
      </c>
      <c r="AA42" s="16">
        <v>1750</v>
      </c>
      <c r="AB42" s="16">
        <v>1650</v>
      </c>
      <c r="AC42" s="16">
        <v>1630</v>
      </c>
      <c r="AD42" s="16">
        <v>1600</v>
      </c>
      <c r="AE42" s="16">
        <v>1570</v>
      </c>
    </row>
    <row r="43" spans="1:31" ht="12.5">
      <c r="A43" s="14" t="s">
        <v>168</v>
      </c>
      <c r="B43" s="14">
        <v>6308485</v>
      </c>
      <c r="C43" s="18" t="s">
        <v>140</v>
      </c>
      <c r="D43" s="16"/>
      <c r="E43" s="16">
        <v>300</v>
      </c>
      <c r="F43" s="16">
        <v>400</v>
      </c>
      <c r="G43" s="16">
        <v>520</v>
      </c>
      <c r="H43" s="16">
        <v>530</v>
      </c>
      <c r="I43" s="16">
        <v>540</v>
      </c>
      <c r="J43" s="16">
        <v>13.5</v>
      </c>
      <c r="K43" s="17">
        <v>13.5</v>
      </c>
      <c r="L43" s="17">
        <v>13.3</v>
      </c>
      <c r="M43" s="17">
        <v>13</v>
      </c>
      <c r="N43" s="17">
        <v>12.7</v>
      </c>
      <c r="O43" s="17">
        <v>12.3</v>
      </c>
      <c r="P43" s="17">
        <v>12</v>
      </c>
      <c r="Q43" s="17">
        <v>11.7</v>
      </c>
      <c r="R43" s="17">
        <v>11.3</v>
      </c>
      <c r="S43" s="17">
        <v>11</v>
      </c>
      <c r="T43" s="17">
        <v>10.7</v>
      </c>
      <c r="U43" s="16">
        <v>10.3</v>
      </c>
      <c r="V43" s="16">
        <v>10</v>
      </c>
      <c r="W43" s="16">
        <v>3500</v>
      </c>
      <c r="X43" s="16">
        <v>3300</v>
      </c>
      <c r="Y43" s="16">
        <v>3200</v>
      </c>
      <c r="Z43" s="16">
        <v>3100</v>
      </c>
      <c r="AA43" s="16">
        <v>3000</v>
      </c>
      <c r="AB43" s="16">
        <v>2900</v>
      </c>
      <c r="AC43" s="16">
        <v>2800</v>
      </c>
      <c r="AD43" s="16">
        <v>2700</v>
      </c>
      <c r="AE43" s="16">
        <v>2600</v>
      </c>
    </row>
    <row r="44" spans="1:31" ht="12.5">
      <c r="A44" s="14" t="s">
        <v>169</v>
      </c>
      <c r="B44" s="14">
        <v>6308535</v>
      </c>
      <c r="C44" s="15"/>
      <c r="D44" s="16">
        <v>800</v>
      </c>
      <c r="E44" s="16"/>
      <c r="F44" s="16"/>
      <c r="G44" s="16"/>
      <c r="H44" s="16"/>
      <c r="I44" s="16"/>
      <c r="J44" s="16"/>
      <c r="K44" s="17"/>
      <c r="L44" s="17">
        <v>1.9</v>
      </c>
      <c r="M44" s="17">
        <v>1.4</v>
      </c>
      <c r="N44" s="17">
        <v>1.3</v>
      </c>
      <c r="O44" s="17">
        <v>1.1000000000000001</v>
      </c>
      <c r="P44" s="17">
        <v>0.9</v>
      </c>
      <c r="Q44" s="17">
        <v>0.7</v>
      </c>
      <c r="R44" s="17">
        <v>0.6</v>
      </c>
      <c r="S44" s="17">
        <v>0.5</v>
      </c>
      <c r="T44" s="17">
        <v>0.4</v>
      </c>
      <c r="U44" s="16">
        <v>0.4</v>
      </c>
      <c r="V44" s="16">
        <v>0.4</v>
      </c>
      <c r="W44" s="16"/>
      <c r="X44" s="16">
        <v>290</v>
      </c>
      <c r="Y44" s="16">
        <v>260</v>
      </c>
      <c r="Z44" s="16">
        <v>210</v>
      </c>
      <c r="AA44" s="16">
        <v>190</v>
      </c>
      <c r="AB44" s="16">
        <v>160</v>
      </c>
      <c r="AC44" s="16">
        <v>130</v>
      </c>
      <c r="AD44" s="16">
        <v>110</v>
      </c>
      <c r="AE44" s="16">
        <v>100</v>
      </c>
    </row>
    <row r="45" spans="1:31" ht="12.5">
      <c r="A45" s="14" t="s">
        <v>170</v>
      </c>
      <c r="B45" s="14">
        <v>6307502</v>
      </c>
      <c r="C45" s="15"/>
      <c r="D45" s="16"/>
      <c r="E45" s="16">
        <v>300</v>
      </c>
      <c r="F45" s="16">
        <v>400</v>
      </c>
      <c r="G45" s="16">
        <v>440</v>
      </c>
      <c r="H45" s="16">
        <v>450</v>
      </c>
      <c r="I45" s="16">
        <v>460</v>
      </c>
      <c r="J45" s="16">
        <v>11.5</v>
      </c>
      <c r="K45" s="17">
        <v>11</v>
      </c>
      <c r="L45" s="17">
        <v>10.7</v>
      </c>
      <c r="M45" s="17">
        <v>10.5</v>
      </c>
      <c r="N45" s="17">
        <v>10.3</v>
      </c>
      <c r="O45" s="17">
        <v>10.1</v>
      </c>
      <c r="P45" s="17">
        <v>9.9</v>
      </c>
      <c r="Q45" s="17">
        <v>9.6999999999999993</v>
      </c>
      <c r="R45" s="17">
        <v>9.5</v>
      </c>
      <c r="S45" s="17">
        <v>9.3000000000000007</v>
      </c>
      <c r="T45" s="17">
        <v>9.1</v>
      </c>
      <c r="U45" s="16">
        <v>8.9</v>
      </c>
      <c r="V45" s="16">
        <v>8.6999999999999993</v>
      </c>
      <c r="W45" s="16">
        <v>2550</v>
      </c>
      <c r="X45" s="16">
        <v>2450</v>
      </c>
      <c r="Y45" s="16">
        <v>2400</v>
      </c>
      <c r="Z45" s="16">
        <v>2300</v>
      </c>
      <c r="AA45" s="16">
        <v>2250</v>
      </c>
      <c r="AB45" s="16">
        <v>2150</v>
      </c>
      <c r="AC45" s="16">
        <v>2100</v>
      </c>
      <c r="AD45" s="16">
        <v>2050</v>
      </c>
      <c r="AE45" s="16">
        <v>1950</v>
      </c>
    </row>
    <row r="46" spans="1:31" ht="12.5">
      <c r="A46" s="14" t="s">
        <v>171</v>
      </c>
      <c r="B46" s="14">
        <v>6489584</v>
      </c>
      <c r="C46" s="15"/>
      <c r="D46" s="16"/>
      <c r="E46" s="16">
        <v>600</v>
      </c>
      <c r="F46" s="16">
        <v>800</v>
      </c>
      <c r="G46" s="16">
        <v>960</v>
      </c>
      <c r="H46" s="16">
        <v>970</v>
      </c>
      <c r="I46" s="16">
        <v>980</v>
      </c>
      <c r="J46" s="16">
        <v>24.4</v>
      </c>
      <c r="K46" s="17">
        <v>19.899999999999999</v>
      </c>
      <c r="L46" s="17">
        <v>18.2</v>
      </c>
      <c r="M46" s="17">
        <v>17</v>
      </c>
      <c r="N46" s="17">
        <v>16.100000000000001</v>
      </c>
      <c r="O46" s="17">
        <v>15.1</v>
      </c>
      <c r="P46" s="17">
        <v>14.1</v>
      </c>
      <c r="Q46" s="17">
        <v>13.5</v>
      </c>
      <c r="R46" s="17">
        <v>12.9</v>
      </c>
      <c r="S46" s="17">
        <v>12.1</v>
      </c>
      <c r="T46" s="17">
        <v>11.6</v>
      </c>
      <c r="U46" s="16">
        <v>11.1</v>
      </c>
      <c r="V46" s="16">
        <v>10.5</v>
      </c>
      <c r="W46" s="16">
        <v>4150</v>
      </c>
      <c r="X46" s="16">
        <v>3950</v>
      </c>
      <c r="Y46" s="16">
        <v>3270</v>
      </c>
      <c r="Z46" s="16">
        <v>3100</v>
      </c>
      <c r="AA46" s="16">
        <v>2950</v>
      </c>
      <c r="AB46" s="16">
        <v>2800</v>
      </c>
      <c r="AC46" s="16">
        <v>2690</v>
      </c>
      <c r="AD46" s="16">
        <v>2630</v>
      </c>
      <c r="AE46" s="16">
        <v>2570</v>
      </c>
    </row>
    <row r="47" spans="1:31" ht="12.5">
      <c r="A47" s="14" t="s">
        <v>172</v>
      </c>
      <c r="B47" s="14">
        <v>6308540</v>
      </c>
      <c r="C47" s="18" t="s">
        <v>140</v>
      </c>
      <c r="D47" s="16"/>
      <c r="E47" s="16">
        <v>290</v>
      </c>
      <c r="F47" s="16">
        <v>300</v>
      </c>
      <c r="G47" s="16">
        <v>310</v>
      </c>
      <c r="H47" s="16">
        <v>320</v>
      </c>
      <c r="I47" s="16">
        <v>330</v>
      </c>
      <c r="J47" s="16">
        <v>8.1999999999999993</v>
      </c>
      <c r="K47" s="17">
        <v>5.4</v>
      </c>
      <c r="L47" s="17">
        <v>4.5</v>
      </c>
      <c r="M47" s="17">
        <v>4.4000000000000004</v>
      </c>
      <c r="N47" s="17">
        <v>4.3</v>
      </c>
      <c r="O47" s="17">
        <v>4.2</v>
      </c>
      <c r="P47" s="17">
        <v>4.0999999999999996</v>
      </c>
      <c r="Q47" s="17">
        <v>4</v>
      </c>
      <c r="R47" s="17">
        <v>3.9</v>
      </c>
      <c r="S47" s="17">
        <v>3.8</v>
      </c>
      <c r="T47" s="17">
        <v>3.7</v>
      </c>
      <c r="U47" s="16">
        <v>3.6</v>
      </c>
      <c r="V47" s="16">
        <v>3.5</v>
      </c>
      <c r="W47" s="16">
        <v>1200</v>
      </c>
      <c r="X47" s="16">
        <v>1100</v>
      </c>
      <c r="Y47" s="16">
        <v>900</v>
      </c>
      <c r="Z47" s="16">
        <v>850</v>
      </c>
      <c r="AA47" s="16">
        <v>800</v>
      </c>
      <c r="AB47" s="16">
        <v>780</v>
      </c>
      <c r="AC47" s="16">
        <v>770</v>
      </c>
      <c r="AD47" s="16">
        <v>760</v>
      </c>
      <c r="AE47" s="16">
        <v>750</v>
      </c>
    </row>
    <row r="48" spans="1:31" ht="12.5">
      <c r="A48" s="14" t="s">
        <v>173</v>
      </c>
      <c r="B48" s="14">
        <v>6308572</v>
      </c>
      <c r="C48" s="15"/>
      <c r="D48" s="16"/>
      <c r="E48" s="16">
        <v>300</v>
      </c>
      <c r="F48" s="16">
        <v>400</v>
      </c>
      <c r="G48" s="16">
        <v>460</v>
      </c>
      <c r="H48" s="16">
        <v>470</v>
      </c>
      <c r="I48" s="16">
        <v>480</v>
      </c>
      <c r="J48" s="16">
        <v>12</v>
      </c>
      <c r="K48" s="17">
        <v>12</v>
      </c>
      <c r="L48" s="17">
        <v>11</v>
      </c>
      <c r="M48" s="17">
        <v>10.8</v>
      </c>
      <c r="N48" s="17">
        <v>10.6</v>
      </c>
      <c r="O48" s="17">
        <v>10.4</v>
      </c>
      <c r="P48" s="17">
        <v>10.199999999999999</v>
      </c>
      <c r="Q48" s="17">
        <v>10</v>
      </c>
      <c r="R48" s="17">
        <v>9.8000000000000007</v>
      </c>
      <c r="S48" s="17">
        <v>9.6</v>
      </c>
      <c r="T48" s="17">
        <v>9.4</v>
      </c>
      <c r="U48" s="16">
        <v>9.1999999999999993</v>
      </c>
      <c r="V48" s="16">
        <v>9</v>
      </c>
      <c r="W48" s="16">
        <v>3000</v>
      </c>
      <c r="X48" s="16">
        <v>2900</v>
      </c>
      <c r="Y48" s="16">
        <v>2800</v>
      </c>
      <c r="Z48" s="16">
        <v>2750</v>
      </c>
      <c r="AA48" s="16">
        <v>2700</v>
      </c>
      <c r="AB48" s="16">
        <v>2650</v>
      </c>
      <c r="AC48" s="16">
        <v>2600</v>
      </c>
      <c r="AD48" s="16">
        <v>2550</v>
      </c>
      <c r="AE48" s="16">
        <v>2500</v>
      </c>
    </row>
    <row r="49" spans="1:31" ht="12.5">
      <c r="A49" s="14" t="s">
        <v>174</v>
      </c>
      <c r="B49" s="14">
        <v>6489570</v>
      </c>
      <c r="C49" s="15"/>
      <c r="D49" s="16"/>
      <c r="E49" s="16">
        <v>600</v>
      </c>
      <c r="F49" s="16">
        <v>800</v>
      </c>
      <c r="G49" s="16">
        <v>1000</v>
      </c>
      <c r="H49" s="16">
        <v>1120</v>
      </c>
      <c r="I49" s="16">
        <v>1130</v>
      </c>
      <c r="J49" s="16">
        <v>28.2</v>
      </c>
      <c r="K49" s="17">
        <v>24.4</v>
      </c>
      <c r="L49" s="17">
        <v>22.7</v>
      </c>
      <c r="M49" s="17">
        <v>21.5</v>
      </c>
      <c r="N49" s="17">
        <v>20.3</v>
      </c>
      <c r="O49" s="17">
        <v>19.100000000000001</v>
      </c>
      <c r="P49" s="17">
        <v>17.8</v>
      </c>
      <c r="Q49" s="17">
        <v>16.899999999999999</v>
      </c>
      <c r="R49" s="17">
        <v>15.9</v>
      </c>
      <c r="S49" s="17">
        <v>15.1</v>
      </c>
      <c r="T49" s="17">
        <v>14.2</v>
      </c>
      <c r="U49" s="16">
        <v>13.4</v>
      </c>
      <c r="V49" s="16">
        <v>12</v>
      </c>
      <c r="W49" s="16">
        <v>4950</v>
      </c>
      <c r="X49" s="16">
        <v>4800</v>
      </c>
      <c r="Y49" s="16">
        <v>4530</v>
      </c>
      <c r="Z49" s="16">
        <v>4350</v>
      </c>
      <c r="AA49" s="16">
        <v>4150</v>
      </c>
      <c r="AB49" s="16">
        <v>3950</v>
      </c>
      <c r="AC49" s="16">
        <v>3750</v>
      </c>
      <c r="AD49" s="16">
        <v>3600</v>
      </c>
      <c r="AE49" s="16">
        <v>3450</v>
      </c>
    </row>
    <row r="50" spans="1:31" ht="21">
      <c r="A50" s="14" t="s">
        <v>175</v>
      </c>
      <c r="B50" s="14">
        <v>6308042</v>
      </c>
      <c r="C50" s="15"/>
      <c r="D50" s="16"/>
      <c r="E50" s="16">
        <v>300</v>
      </c>
      <c r="F50" s="16">
        <v>400</v>
      </c>
      <c r="G50" s="16">
        <v>600</v>
      </c>
      <c r="H50" s="16">
        <v>710</v>
      </c>
      <c r="I50" s="16">
        <v>720</v>
      </c>
      <c r="J50" s="16">
        <v>18</v>
      </c>
      <c r="K50" s="17">
        <v>17</v>
      </c>
      <c r="L50" s="17">
        <v>16.8</v>
      </c>
      <c r="M50" s="17">
        <v>16.600000000000001</v>
      </c>
      <c r="N50" s="17">
        <v>16.399999999999999</v>
      </c>
      <c r="O50" s="17">
        <v>16.2</v>
      </c>
      <c r="P50" s="17">
        <v>16</v>
      </c>
      <c r="Q50" s="17">
        <v>15.8</v>
      </c>
      <c r="R50" s="17">
        <v>15.6</v>
      </c>
      <c r="S50" s="17">
        <v>15.5</v>
      </c>
      <c r="T50" s="17">
        <v>15.4</v>
      </c>
      <c r="U50" s="16">
        <v>15.3</v>
      </c>
      <c r="V50" s="16">
        <v>15.2</v>
      </c>
      <c r="W50" s="16">
        <v>4000</v>
      </c>
      <c r="X50" s="16">
        <v>3900</v>
      </c>
      <c r="Y50" s="16">
        <v>3800</v>
      </c>
      <c r="Z50" s="16">
        <v>3750</v>
      </c>
      <c r="AA50" s="16">
        <v>3700</v>
      </c>
      <c r="AB50" s="16">
        <v>3650</v>
      </c>
      <c r="AC50" s="16">
        <v>3600</v>
      </c>
      <c r="AD50" s="16">
        <v>3550</v>
      </c>
      <c r="AE50" s="16">
        <v>3500</v>
      </c>
    </row>
    <row r="51" spans="1:31" ht="12.5">
      <c r="A51" s="14" t="s">
        <v>176</v>
      </c>
      <c r="B51" s="14">
        <v>6489586</v>
      </c>
      <c r="C51" s="15"/>
      <c r="D51" s="16"/>
      <c r="E51" s="16">
        <v>600</v>
      </c>
      <c r="F51" s="16">
        <v>800</v>
      </c>
      <c r="G51" s="16">
        <v>1000</v>
      </c>
      <c r="H51" s="16">
        <v>1080</v>
      </c>
      <c r="I51" s="16">
        <v>1090</v>
      </c>
      <c r="J51" s="16">
        <v>27.2</v>
      </c>
      <c r="K51" s="17">
        <v>23.4</v>
      </c>
      <c r="L51" s="17">
        <v>21.7</v>
      </c>
      <c r="M51" s="17">
        <v>20.5</v>
      </c>
      <c r="N51" s="17">
        <v>19.3</v>
      </c>
      <c r="O51" s="17">
        <v>18.100000000000001</v>
      </c>
      <c r="P51" s="17">
        <v>16.8</v>
      </c>
      <c r="Q51" s="17">
        <v>15.9</v>
      </c>
      <c r="R51" s="17">
        <v>14.9</v>
      </c>
      <c r="S51" s="17">
        <v>14.4</v>
      </c>
      <c r="T51" s="17">
        <v>13.8</v>
      </c>
      <c r="U51" s="16">
        <v>13.4</v>
      </c>
      <c r="V51" s="16">
        <v>13</v>
      </c>
      <c r="W51" s="16">
        <v>4950</v>
      </c>
      <c r="X51" s="16">
        <v>4850</v>
      </c>
      <c r="Y51" s="16">
        <v>4500</v>
      </c>
      <c r="Z51" s="16">
        <v>4250</v>
      </c>
      <c r="AA51" s="16">
        <v>4050</v>
      </c>
      <c r="AB51" s="16">
        <v>3850</v>
      </c>
      <c r="AC51" s="16">
        <v>3650</v>
      </c>
      <c r="AD51" s="16">
        <v>3500</v>
      </c>
      <c r="AE51" s="16">
        <v>3350</v>
      </c>
    </row>
    <row r="52" spans="1:31" ht="12.5">
      <c r="A52" s="14" t="s">
        <v>177</v>
      </c>
      <c r="B52" s="14">
        <v>6308592</v>
      </c>
      <c r="C52" s="15"/>
      <c r="D52" s="16"/>
      <c r="E52" s="16">
        <v>290</v>
      </c>
      <c r="F52" s="16">
        <v>300</v>
      </c>
      <c r="G52" s="16">
        <v>310</v>
      </c>
      <c r="H52" s="16">
        <v>320</v>
      </c>
      <c r="I52" s="16">
        <v>330</v>
      </c>
      <c r="J52" s="16">
        <v>8.1999999999999993</v>
      </c>
      <c r="K52" s="17">
        <v>7</v>
      </c>
      <c r="L52" s="17">
        <v>6.5</v>
      </c>
      <c r="M52" s="17">
        <v>6</v>
      </c>
      <c r="N52" s="17">
        <v>5.9</v>
      </c>
      <c r="O52" s="17">
        <v>5.8</v>
      </c>
      <c r="P52" s="17">
        <v>5.6</v>
      </c>
      <c r="Q52" s="17">
        <v>5.4</v>
      </c>
      <c r="R52" s="17">
        <v>5.2</v>
      </c>
      <c r="S52" s="17">
        <v>5</v>
      </c>
      <c r="T52" s="17">
        <v>4.8</v>
      </c>
      <c r="U52" s="16">
        <v>4.5999999999999996</v>
      </c>
      <c r="V52" s="16">
        <v>4.4000000000000004</v>
      </c>
      <c r="W52" s="16">
        <v>1400</v>
      </c>
      <c r="X52" s="16">
        <v>1300</v>
      </c>
      <c r="Y52" s="16">
        <v>1250</v>
      </c>
      <c r="Z52" s="16">
        <v>1230</v>
      </c>
      <c r="AA52" s="16">
        <v>1200</v>
      </c>
      <c r="AB52" s="16">
        <v>1150</v>
      </c>
      <c r="AC52" s="16">
        <v>1100</v>
      </c>
      <c r="AD52" s="16">
        <v>1050</v>
      </c>
      <c r="AE52" s="16">
        <v>1000</v>
      </c>
    </row>
    <row r="53" spans="1:31" ht="12.5">
      <c r="A53" s="14" t="s">
        <v>178</v>
      </c>
      <c r="B53" s="14">
        <v>6307465</v>
      </c>
      <c r="C53" s="15"/>
      <c r="D53" s="16"/>
      <c r="E53" s="16">
        <v>300</v>
      </c>
      <c r="F53" s="16">
        <v>400</v>
      </c>
      <c r="G53" s="16">
        <v>460</v>
      </c>
      <c r="H53" s="16">
        <v>470</v>
      </c>
      <c r="I53" s="16">
        <v>480</v>
      </c>
      <c r="J53" s="16">
        <v>12</v>
      </c>
      <c r="K53" s="17">
        <v>11.5</v>
      </c>
      <c r="L53" s="17">
        <v>11</v>
      </c>
      <c r="M53" s="17">
        <v>10.5</v>
      </c>
      <c r="N53" s="17">
        <v>10</v>
      </c>
      <c r="O53" s="17">
        <v>9.5</v>
      </c>
      <c r="P53" s="17">
        <v>9</v>
      </c>
      <c r="Q53" s="17">
        <v>8.5</v>
      </c>
      <c r="R53" s="17">
        <v>8.4</v>
      </c>
      <c r="S53" s="17">
        <v>8.3000000000000007</v>
      </c>
      <c r="T53" s="17">
        <v>8.1999999999999993</v>
      </c>
      <c r="U53" s="16">
        <v>8.1</v>
      </c>
      <c r="V53" s="16">
        <v>8</v>
      </c>
      <c r="W53" s="16">
        <v>2500</v>
      </c>
      <c r="X53" s="16">
        <v>2400</v>
      </c>
      <c r="Y53" s="16">
        <v>2300</v>
      </c>
      <c r="Z53" s="16">
        <v>2200</v>
      </c>
      <c r="AA53" s="16">
        <v>2150</v>
      </c>
      <c r="AB53" s="16">
        <v>2100</v>
      </c>
      <c r="AC53" s="16">
        <v>2050</v>
      </c>
      <c r="AD53" s="16">
        <v>2000</v>
      </c>
      <c r="AE53" s="16">
        <v>1900</v>
      </c>
    </row>
    <row r="54" spans="1:31" ht="12.5">
      <c r="A54" s="14" t="s">
        <v>179</v>
      </c>
      <c r="B54" s="14">
        <v>6307491</v>
      </c>
      <c r="C54" s="15"/>
      <c r="D54" s="16"/>
      <c r="E54" s="16">
        <v>290</v>
      </c>
      <c r="F54" s="16">
        <v>300</v>
      </c>
      <c r="G54" s="16">
        <v>310</v>
      </c>
      <c r="H54" s="16">
        <v>320</v>
      </c>
      <c r="I54" s="16">
        <v>330</v>
      </c>
      <c r="J54" s="16">
        <v>8.1999999999999993</v>
      </c>
      <c r="K54" s="17">
        <v>7.5</v>
      </c>
      <c r="L54" s="17">
        <v>7.2</v>
      </c>
      <c r="M54" s="17">
        <v>7</v>
      </c>
      <c r="N54" s="17">
        <v>6.8</v>
      </c>
      <c r="O54" s="17">
        <v>6.6</v>
      </c>
      <c r="P54" s="17">
        <v>6.4</v>
      </c>
      <c r="Q54" s="17">
        <v>6.2</v>
      </c>
      <c r="R54" s="17">
        <v>6</v>
      </c>
      <c r="S54" s="17">
        <v>5.8</v>
      </c>
      <c r="T54" s="17">
        <v>5.6</v>
      </c>
      <c r="U54" s="16">
        <v>5.4</v>
      </c>
      <c r="V54" s="16">
        <v>5.2</v>
      </c>
      <c r="W54" s="16">
        <v>1700</v>
      </c>
      <c r="X54" s="16">
        <v>1600</v>
      </c>
      <c r="Y54" s="16">
        <v>1550</v>
      </c>
      <c r="Z54" s="16">
        <v>1450</v>
      </c>
      <c r="AA54" s="16">
        <v>1400</v>
      </c>
      <c r="AB54" s="16">
        <v>1300</v>
      </c>
      <c r="AC54" s="16">
        <v>1250</v>
      </c>
      <c r="AD54" s="16">
        <v>1200</v>
      </c>
      <c r="AE54" s="16">
        <v>1100</v>
      </c>
    </row>
    <row r="55" spans="1:31" ht="12.5">
      <c r="A55" s="14" t="s">
        <v>180</v>
      </c>
      <c r="B55" s="14">
        <v>6309456</v>
      </c>
      <c r="C55" s="18" t="s">
        <v>140</v>
      </c>
      <c r="D55" s="16"/>
      <c r="E55" s="16">
        <v>290</v>
      </c>
      <c r="F55" s="16">
        <v>300</v>
      </c>
      <c r="G55" s="16">
        <v>310</v>
      </c>
      <c r="H55" s="16">
        <v>320</v>
      </c>
      <c r="I55" s="16">
        <v>330</v>
      </c>
      <c r="J55" s="16">
        <v>8.1999999999999993</v>
      </c>
      <c r="K55" s="17">
        <v>8</v>
      </c>
      <c r="L55" s="17">
        <v>7.5</v>
      </c>
      <c r="M55" s="17">
        <v>7.2</v>
      </c>
      <c r="N55" s="17">
        <v>7</v>
      </c>
      <c r="O55" s="17">
        <v>6.8</v>
      </c>
      <c r="P55" s="17">
        <v>6.6</v>
      </c>
      <c r="Q55" s="17">
        <v>6.4</v>
      </c>
      <c r="R55" s="17">
        <v>6.2</v>
      </c>
      <c r="S55" s="17">
        <v>6</v>
      </c>
      <c r="T55" s="17">
        <v>5.5</v>
      </c>
      <c r="U55" s="16">
        <v>5.2</v>
      </c>
      <c r="V55" s="16">
        <v>5</v>
      </c>
      <c r="W55" s="16">
        <v>1900</v>
      </c>
      <c r="X55" s="16">
        <v>1800</v>
      </c>
      <c r="Y55" s="16">
        <v>1700</v>
      </c>
      <c r="Z55" s="16">
        <v>1600</v>
      </c>
      <c r="AA55" s="16">
        <v>1500</v>
      </c>
      <c r="AB55" s="16">
        <v>1400</v>
      </c>
      <c r="AC55" s="16">
        <v>1300</v>
      </c>
      <c r="AD55" s="16">
        <v>1250</v>
      </c>
      <c r="AE55" s="16">
        <v>1200</v>
      </c>
    </row>
    <row r="56" spans="1:31" ht="12.5">
      <c r="A56" s="14" t="s">
        <v>181</v>
      </c>
      <c r="B56" s="14">
        <v>6308603</v>
      </c>
      <c r="C56" s="15"/>
      <c r="D56" s="16"/>
      <c r="E56" s="16">
        <v>290</v>
      </c>
      <c r="F56" s="16">
        <v>300</v>
      </c>
      <c r="G56" s="16">
        <v>310</v>
      </c>
      <c r="H56" s="16">
        <v>320</v>
      </c>
      <c r="I56" s="16">
        <v>330</v>
      </c>
      <c r="J56" s="16">
        <v>8.1999999999999993</v>
      </c>
      <c r="K56" s="17">
        <v>8</v>
      </c>
      <c r="L56" s="17">
        <v>7.8</v>
      </c>
      <c r="M56" s="17">
        <v>7.4</v>
      </c>
      <c r="N56" s="17">
        <v>7</v>
      </c>
      <c r="O56" s="17">
        <v>6.8</v>
      </c>
      <c r="P56" s="17">
        <v>6.6</v>
      </c>
      <c r="Q56" s="17">
        <v>6.4</v>
      </c>
      <c r="R56" s="17">
        <v>6.2</v>
      </c>
      <c r="S56" s="17">
        <v>6</v>
      </c>
      <c r="T56" s="17">
        <v>5.8</v>
      </c>
      <c r="U56" s="16">
        <v>5.6</v>
      </c>
      <c r="V56" s="16">
        <v>5.4</v>
      </c>
      <c r="W56" s="16">
        <v>1700</v>
      </c>
      <c r="X56" s="16">
        <v>1600</v>
      </c>
      <c r="Y56" s="16">
        <v>1500</v>
      </c>
      <c r="Z56" s="16">
        <v>1450</v>
      </c>
      <c r="AA56" s="16">
        <v>1400</v>
      </c>
      <c r="AB56" s="16">
        <v>1350</v>
      </c>
      <c r="AC56" s="16">
        <v>1300</v>
      </c>
      <c r="AD56" s="16">
        <v>1250</v>
      </c>
      <c r="AE56" s="16">
        <v>1200</v>
      </c>
    </row>
    <row r="57" spans="1:31" ht="12.5">
      <c r="A57" s="14" t="s">
        <v>182</v>
      </c>
      <c r="B57" s="14">
        <v>6307412</v>
      </c>
      <c r="C57" s="15"/>
      <c r="D57" s="16"/>
      <c r="E57" s="16">
        <v>300</v>
      </c>
      <c r="F57" s="16">
        <v>400</v>
      </c>
      <c r="G57" s="16">
        <v>420</v>
      </c>
      <c r="H57" s="16">
        <v>430</v>
      </c>
      <c r="I57" s="16">
        <v>440</v>
      </c>
      <c r="J57" s="16">
        <v>11</v>
      </c>
      <c r="K57" s="17">
        <v>11</v>
      </c>
      <c r="L57" s="17">
        <v>10.8</v>
      </c>
      <c r="M57" s="17">
        <v>10.6</v>
      </c>
      <c r="N57" s="17">
        <v>10.4</v>
      </c>
      <c r="O57" s="17">
        <v>10.199999999999999</v>
      </c>
      <c r="P57" s="17">
        <v>10</v>
      </c>
      <c r="Q57" s="17">
        <v>9.8000000000000007</v>
      </c>
      <c r="R57" s="17">
        <v>9.6</v>
      </c>
      <c r="S57" s="17">
        <v>9.4</v>
      </c>
      <c r="T57" s="17">
        <v>9.1999999999999993</v>
      </c>
      <c r="U57" s="16">
        <v>9</v>
      </c>
      <c r="V57" s="16">
        <v>8.8000000000000007</v>
      </c>
      <c r="W57" s="16">
        <v>2600</v>
      </c>
      <c r="X57" s="16">
        <v>2500</v>
      </c>
      <c r="Y57" s="16">
        <v>2450</v>
      </c>
      <c r="Z57" s="16">
        <v>2400</v>
      </c>
      <c r="AA57" s="16">
        <v>2300</v>
      </c>
      <c r="AB57" s="16">
        <v>2200</v>
      </c>
      <c r="AC57" s="16">
        <v>2100</v>
      </c>
      <c r="AD57" s="16">
        <v>2050</v>
      </c>
      <c r="AE57" s="16">
        <v>2000</v>
      </c>
    </row>
    <row r="58" spans="1:31" ht="12.5">
      <c r="A58" s="14" t="s">
        <v>183</v>
      </c>
      <c r="B58" s="14">
        <v>6308541</v>
      </c>
      <c r="C58" s="18" t="s">
        <v>140</v>
      </c>
      <c r="D58" s="16"/>
      <c r="E58" s="16">
        <v>290</v>
      </c>
      <c r="F58" s="16">
        <v>300</v>
      </c>
      <c r="G58" s="16">
        <v>310</v>
      </c>
      <c r="H58" s="16">
        <v>320</v>
      </c>
      <c r="I58" s="16">
        <v>330</v>
      </c>
      <c r="J58" s="16">
        <v>8.1999999999999993</v>
      </c>
      <c r="K58" s="17">
        <v>5.4</v>
      </c>
      <c r="L58" s="17">
        <v>4.4000000000000004</v>
      </c>
      <c r="M58" s="17">
        <v>3.7</v>
      </c>
      <c r="N58" s="17">
        <v>3.6</v>
      </c>
      <c r="O58" s="17">
        <v>3.3</v>
      </c>
      <c r="P58" s="17">
        <v>3.1</v>
      </c>
      <c r="Q58" s="17">
        <v>2.9</v>
      </c>
      <c r="R58" s="17">
        <v>2.6</v>
      </c>
      <c r="S58" s="17">
        <v>2.4</v>
      </c>
      <c r="T58" s="17">
        <v>2.2000000000000002</v>
      </c>
      <c r="U58" s="16">
        <v>2.1</v>
      </c>
      <c r="V58" s="16">
        <v>2</v>
      </c>
      <c r="W58" s="16">
        <v>1200</v>
      </c>
      <c r="X58" s="16">
        <v>1100</v>
      </c>
      <c r="Y58" s="16">
        <v>800</v>
      </c>
      <c r="Z58" s="16">
        <v>750</v>
      </c>
      <c r="AA58" s="16">
        <v>700</v>
      </c>
      <c r="AB58" s="16">
        <v>650</v>
      </c>
      <c r="AC58" s="16">
        <v>600</v>
      </c>
      <c r="AD58" s="16">
        <v>550</v>
      </c>
      <c r="AE58" s="16">
        <v>500</v>
      </c>
    </row>
    <row r="59" spans="1:31" ht="12.5">
      <c r="A59" s="14" t="s">
        <v>184</v>
      </c>
      <c r="B59" s="14">
        <v>6307377</v>
      </c>
      <c r="C59" s="15"/>
      <c r="D59" s="16"/>
      <c r="E59" s="16">
        <v>300</v>
      </c>
      <c r="F59" s="16">
        <v>400</v>
      </c>
      <c r="G59" s="16">
        <v>600</v>
      </c>
      <c r="H59" s="16">
        <v>800</v>
      </c>
      <c r="I59" s="16">
        <v>1320</v>
      </c>
      <c r="J59" s="16">
        <v>33</v>
      </c>
      <c r="K59" s="17">
        <v>32</v>
      </c>
      <c r="L59" s="17">
        <v>31.8</v>
      </c>
      <c r="M59" s="17">
        <v>31.4</v>
      </c>
      <c r="N59" s="17">
        <v>31</v>
      </c>
      <c r="O59" s="17">
        <v>30.5</v>
      </c>
      <c r="P59" s="17">
        <v>30</v>
      </c>
      <c r="Q59" s="17">
        <v>29.5</v>
      </c>
      <c r="R59" s="17">
        <v>29</v>
      </c>
      <c r="S59" s="17">
        <v>28.8</v>
      </c>
      <c r="T59" s="17">
        <v>28.6</v>
      </c>
      <c r="U59" s="16">
        <v>28.4</v>
      </c>
      <c r="V59" s="16">
        <v>28.2</v>
      </c>
      <c r="W59" s="16">
        <v>7100</v>
      </c>
      <c r="X59" s="16">
        <v>7000</v>
      </c>
      <c r="Y59" s="16">
        <v>6900</v>
      </c>
      <c r="Z59" s="16">
        <v>6800</v>
      </c>
      <c r="AA59" s="16">
        <v>6700</v>
      </c>
      <c r="AB59" s="16">
        <v>6600</v>
      </c>
      <c r="AC59" s="16">
        <v>6500</v>
      </c>
      <c r="AD59" s="16">
        <v>6400</v>
      </c>
      <c r="AE59" s="16">
        <v>6300</v>
      </c>
    </row>
    <row r="60" spans="1:31" ht="12.5">
      <c r="A60" s="14" t="s">
        <v>185</v>
      </c>
      <c r="B60" s="14">
        <v>6309251</v>
      </c>
      <c r="C60" s="15"/>
      <c r="D60" s="16"/>
      <c r="E60" s="16">
        <v>300</v>
      </c>
      <c r="F60" s="16">
        <v>400</v>
      </c>
      <c r="G60" s="16">
        <v>460</v>
      </c>
      <c r="H60" s="16">
        <v>470</v>
      </c>
      <c r="I60" s="16">
        <v>480</v>
      </c>
      <c r="J60" s="16">
        <v>12</v>
      </c>
      <c r="K60" s="17">
        <v>11.5</v>
      </c>
      <c r="L60" s="17">
        <v>11</v>
      </c>
      <c r="M60" s="17">
        <v>10.5</v>
      </c>
      <c r="N60" s="17">
        <v>10</v>
      </c>
      <c r="O60" s="17">
        <v>9.5</v>
      </c>
      <c r="P60" s="17">
        <v>9</v>
      </c>
      <c r="Q60" s="17">
        <v>8.5</v>
      </c>
      <c r="R60" s="17">
        <v>8.4</v>
      </c>
      <c r="S60" s="17">
        <v>8.3000000000000007</v>
      </c>
      <c r="T60" s="17">
        <v>8.1999999999999993</v>
      </c>
      <c r="U60" s="16">
        <v>8.1</v>
      </c>
      <c r="V60" s="16">
        <v>8</v>
      </c>
      <c r="W60" s="16">
        <v>2500</v>
      </c>
      <c r="X60" s="16">
        <v>2400</v>
      </c>
      <c r="Y60" s="16">
        <v>2300</v>
      </c>
      <c r="Z60" s="16">
        <v>2200</v>
      </c>
      <c r="AA60" s="16">
        <v>2150</v>
      </c>
      <c r="AB60" s="16">
        <v>2100</v>
      </c>
      <c r="AC60" s="16">
        <v>2050</v>
      </c>
      <c r="AD60" s="16">
        <v>2000</v>
      </c>
      <c r="AE60" s="16">
        <v>1900</v>
      </c>
    </row>
    <row r="61" spans="1:31" ht="12.5">
      <c r="A61" s="14" t="s">
        <v>186</v>
      </c>
      <c r="B61" s="14">
        <v>6309818</v>
      </c>
      <c r="C61" s="15"/>
      <c r="D61" s="16"/>
      <c r="E61" s="16">
        <v>300</v>
      </c>
      <c r="F61" s="16">
        <v>330</v>
      </c>
      <c r="G61" s="16">
        <v>340</v>
      </c>
      <c r="H61" s="16">
        <v>350</v>
      </c>
      <c r="I61" s="16">
        <v>360</v>
      </c>
      <c r="J61" s="16">
        <v>9</v>
      </c>
      <c r="K61" s="17">
        <v>9</v>
      </c>
      <c r="L61" s="17">
        <v>8.5</v>
      </c>
      <c r="M61" s="17">
        <v>8</v>
      </c>
      <c r="N61" s="17">
        <v>7.5</v>
      </c>
      <c r="O61" s="17">
        <v>7</v>
      </c>
      <c r="P61" s="17">
        <v>6.5</v>
      </c>
      <c r="Q61" s="17">
        <v>6</v>
      </c>
      <c r="R61" s="17">
        <v>5.6</v>
      </c>
      <c r="S61" s="17">
        <v>5.4</v>
      </c>
      <c r="T61" s="17">
        <v>5.2</v>
      </c>
      <c r="U61" s="16">
        <v>5.0999999999999996</v>
      </c>
      <c r="V61" s="16">
        <v>5</v>
      </c>
      <c r="W61" s="16">
        <v>2100</v>
      </c>
      <c r="X61" s="16">
        <v>2000</v>
      </c>
      <c r="Y61" s="16">
        <v>1900</v>
      </c>
      <c r="Z61" s="16">
        <v>1700</v>
      </c>
      <c r="AA61" s="16">
        <v>1500</v>
      </c>
      <c r="AB61" s="16">
        <v>1400</v>
      </c>
      <c r="AC61" s="16">
        <v>1350</v>
      </c>
      <c r="AD61" s="16">
        <v>1300</v>
      </c>
      <c r="AE61" s="16">
        <v>1250</v>
      </c>
    </row>
    <row r="62" spans="1:31" ht="12.5">
      <c r="A62" s="14" t="s">
        <v>187</v>
      </c>
      <c r="B62" s="14">
        <v>6379721</v>
      </c>
      <c r="C62" s="15"/>
      <c r="D62" s="16">
        <v>1950</v>
      </c>
      <c r="E62" s="16"/>
      <c r="F62" s="16"/>
      <c r="G62" s="16"/>
      <c r="H62" s="16"/>
      <c r="I62" s="16"/>
      <c r="J62" s="16"/>
      <c r="K62" s="17"/>
      <c r="L62" s="17">
        <v>3.3</v>
      </c>
      <c r="M62" s="17">
        <v>2.4</v>
      </c>
      <c r="N62" s="17">
        <v>2.1</v>
      </c>
      <c r="O62" s="17">
        <v>2</v>
      </c>
      <c r="P62" s="17">
        <v>1.5</v>
      </c>
      <c r="Q62" s="17">
        <v>1.1000000000000001</v>
      </c>
      <c r="R62" s="17">
        <v>1</v>
      </c>
      <c r="S62" s="17">
        <v>0.9</v>
      </c>
      <c r="T62" s="17">
        <v>0.8</v>
      </c>
      <c r="U62" s="16">
        <v>0.5</v>
      </c>
      <c r="V62" s="16">
        <v>0.5</v>
      </c>
      <c r="W62" s="16"/>
      <c r="X62" s="16">
        <v>620</v>
      </c>
      <c r="Y62" s="16">
        <v>560</v>
      </c>
      <c r="Z62" s="16">
        <v>350</v>
      </c>
      <c r="AA62" s="16">
        <v>320</v>
      </c>
      <c r="AB62" s="16">
        <v>280</v>
      </c>
      <c r="AC62" s="16">
        <v>230</v>
      </c>
      <c r="AD62" s="16">
        <v>150</v>
      </c>
      <c r="AE62" s="16">
        <v>140</v>
      </c>
    </row>
    <row r="63" spans="1:31" ht="12.5">
      <c r="A63" s="14" t="s">
        <v>188</v>
      </c>
      <c r="B63" s="14">
        <v>6308555</v>
      </c>
      <c r="C63" s="18" t="s">
        <v>140</v>
      </c>
      <c r="D63" s="16"/>
      <c r="E63" s="16">
        <v>290</v>
      </c>
      <c r="F63" s="16">
        <v>300</v>
      </c>
      <c r="G63" s="16">
        <v>310</v>
      </c>
      <c r="H63" s="16">
        <v>320</v>
      </c>
      <c r="I63" s="16">
        <v>330</v>
      </c>
      <c r="J63" s="16">
        <v>8.1999999999999993</v>
      </c>
      <c r="K63" s="17">
        <v>7</v>
      </c>
      <c r="L63" s="17">
        <v>6.5</v>
      </c>
      <c r="M63" s="17">
        <v>6.4</v>
      </c>
      <c r="N63" s="17">
        <v>6.3</v>
      </c>
      <c r="O63" s="17">
        <v>6.2</v>
      </c>
      <c r="P63" s="17">
        <v>6.1</v>
      </c>
      <c r="Q63" s="17">
        <v>6</v>
      </c>
      <c r="R63" s="17">
        <v>5.9</v>
      </c>
      <c r="S63" s="17">
        <v>5.8</v>
      </c>
      <c r="T63" s="17">
        <v>5.7</v>
      </c>
      <c r="U63" s="16">
        <v>5.5</v>
      </c>
      <c r="V63" s="16">
        <v>5</v>
      </c>
      <c r="W63" s="16">
        <v>1800</v>
      </c>
      <c r="X63" s="16">
        <v>1700</v>
      </c>
      <c r="Y63" s="16">
        <v>1600</v>
      </c>
      <c r="Z63" s="16">
        <v>1500</v>
      </c>
      <c r="AA63" s="16">
        <v>1450</v>
      </c>
      <c r="AB63" s="16">
        <v>1400</v>
      </c>
      <c r="AC63" s="16">
        <v>1350</v>
      </c>
      <c r="AD63" s="16">
        <v>1300</v>
      </c>
      <c r="AE63" s="16">
        <v>1200</v>
      </c>
    </row>
    <row r="64" spans="1:31" ht="12.5">
      <c r="A64" s="14" t="s">
        <v>189</v>
      </c>
      <c r="B64" s="14">
        <v>6308547</v>
      </c>
      <c r="C64" s="18" t="s">
        <v>140</v>
      </c>
      <c r="D64" s="16"/>
      <c r="E64" s="16">
        <v>290</v>
      </c>
      <c r="F64" s="16">
        <v>300</v>
      </c>
      <c r="G64" s="16">
        <v>310</v>
      </c>
      <c r="H64" s="16">
        <v>320</v>
      </c>
      <c r="I64" s="16">
        <v>330</v>
      </c>
      <c r="J64" s="16">
        <v>8.1999999999999993</v>
      </c>
      <c r="K64" s="17">
        <v>5.4</v>
      </c>
      <c r="L64" s="17">
        <v>4.4000000000000004</v>
      </c>
      <c r="M64" s="17">
        <v>3.7</v>
      </c>
      <c r="N64" s="17">
        <v>3.6</v>
      </c>
      <c r="O64" s="17">
        <v>3.3</v>
      </c>
      <c r="P64" s="17">
        <v>3.1</v>
      </c>
      <c r="Q64" s="17">
        <v>2.9</v>
      </c>
      <c r="R64" s="17">
        <v>2.6</v>
      </c>
      <c r="S64" s="17">
        <v>2.4</v>
      </c>
      <c r="T64" s="17">
        <v>2.2000000000000002</v>
      </c>
      <c r="U64" s="16">
        <v>2.1</v>
      </c>
      <c r="V64" s="16">
        <v>2</v>
      </c>
      <c r="W64" s="16">
        <v>1200</v>
      </c>
      <c r="X64" s="16">
        <v>1100</v>
      </c>
      <c r="Y64" s="16">
        <v>800</v>
      </c>
      <c r="Z64" s="16">
        <v>750</v>
      </c>
      <c r="AA64" s="16">
        <v>700</v>
      </c>
      <c r="AB64" s="16">
        <v>650</v>
      </c>
      <c r="AC64" s="16">
        <v>600</v>
      </c>
      <c r="AD64" s="16">
        <v>550</v>
      </c>
      <c r="AE64" s="16">
        <v>500</v>
      </c>
    </row>
    <row r="65" spans="1:31" ht="12.5">
      <c r="A65" s="14" t="s">
        <v>190</v>
      </c>
      <c r="B65" s="14">
        <v>6309819</v>
      </c>
      <c r="C65" s="15"/>
      <c r="D65" s="16"/>
      <c r="E65" s="16">
        <v>300</v>
      </c>
      <c r="F65" s="16">
        <v>330</v>
      </c>
      <c r="G65" s="16">
        <v>340</v>
      </c>
      <c r="H65" s="16">
        <v>350</v>
      </c>
      <c r="I65" s="16">
        <v>360</v>
      </c>
      <c r="J65" s="16">
        <v>9</v>
      </c>
      <c r="K65" s="17">
        <v>9</v>
      </c>
      <c r="L65" s="17">
        <v>8.5</v>
      </c>
      <c r="M65" s="17">
        <v>8</v>
      </c>
      <c r="N65" s="17">
        <v>7.5</v>
      </c>
      <c r="O65" s="17">
        <v>7</v>
      </c>
      <c r="P65" s="17">
        <v>6.5</v>
      </c>
      <c r="Q65" s="17">
        <v>6</v>
      </c>
      <c r="R65" s="17">
        <v>5.6</v>
      </c>
      <c r="S65" s="17">
        <v>5.5</v>
      </c>
      <c r="T65" s="17">
        <v>5.4</v>
      </c>
      <c r="U65" s="16">
        <v>5.2</v>
      </c>
      <c r="V65" s="16">
        <v>5</v>
      </c>
      <c r="W65" s="16">
        <v>2000</v>
      </c>
      <c r="X65" s="16">
        <v>1900</v>
      </c>
      <c r="Y65" s="16">
        <v>1800</v>
      </c>
      <c r="Z65" s="16">
        <v>1700</v>
      </c>
      <c r="AA65" s="16">
        <v>1500</v>
      </c>
      <c r="AB65" s="16">
        <v>1450</v>
      </c>
      <c r="AC65" s="16">
        <v>1400</v>
      </c>
      <c r="AD65" s="16">
        <v>1350</v>
      </c>
      <c r="AE65" s="16">
        <v>1300</v>
      </c>
    </row>
    <row r="66" spans="1:31" ht="12.5">
      <c r="A66" s="14" t="s">
        <v>191</v>
      </c>
      <c r="B66" s="14">
        <v>6307378</v>
      </c>
      <c r="C66" s="15"/>
      <c r="D66" s="16"/>
      <c r="E66" s="16">
        <v>300</v>
      </c>
      <c r="F66" s="16">
        <v>400</v>
      </c>
      <c r="G66" s="16">
        <v>600</v>
      </c>
      <c r="H66" s="16">
        <v>800</v>
      </c>
      <c r="I66" s="16">
        <v>1320</v>
      </c>
      <c r="J66" s="16">
        <v>33</v>
      </c>
      <c r="K66" s="17">
        <v>32</v>
      </c>
      <c r="L66" s="17">
        <v>31.8</v>
      </c>
      <c r="M66" s="17">
        <v>31.4</v>
      </c>
      <c r="N66" s="17">
        <v>31</v>
      </c>
      <c r="O66" s="17">
        <v>30.5</v>
      </c>
      <c r="P66" s="17">
        <v>30</v>
      </c>
      <c r="Q66" s="17">
        <v>29.5</v>
      </c>
      <c r="R66" s="17">
        <v>29</v>
      </c>
      <c r="S66" s="17">
        <v>28.8</v>
      </c>
      <c r="T66" s="17">
        <v>28.6</v>
      </c>
      <c r="U66" s="16">
        <v>28.4</v>
      </c>
      <c r="V66" s="16">
        <v>28.2</v>
      </c>
      <c r="W66" s="16">
        <v>7100</v>
      </c>
      <c r="X66" s="16">
        <v>7000</v>
      </c>
      <c r="Y66" s="16">
        <v>6900</v>
      </c>
      <c r="Z66" s="16">
        <v>6800</v>
      </c>
      <c r="AA66" s="16">
        <v>6700</v>
      </c>
      <c r="AB66" s="16">
        <v>6600</v>
      </c>
      <c r="AC66" s="16">
        <v>6500</v>
      </c>
      <c r="AD66" s="16">
        <v>6400</v>
      </c>
      <c r="AE66" s="16">
        <v>6300</v>
      </c>
    </row>
    <row r="67" spans="1:31" ht="12.5">
      <c r="A67" s="14" t="s">
        <v>192</v>
      </c>
      <c r="B67" s="14">
        <v>6304532</v>
      </c>
      <c r="C67" s="15"/>
      <c r="D67" s="16"/>
      <c r="E67" s="16">
        <v>290</v>
      </c>
      <c r="F67" s="16">
        <v>300</v>
      </c>
      <c r="G67" s="16">
        <v>310</v>
      </c>
      <c r="H67" s="16">
        <v>320</v>
      </c>
      <c r="I67" s="16">
        <v>330</v>
      </c>
      <c r="J67" s="16">
        <v>8.1999999999999993</v>
      </c>
      <c r="K67" s="17">
        <v>7.5</v>
      </c>
      <c r="L67" s="17">
        <v>7</v>
      </c>
      <c r="M67" s="17">
        <v>6.4</v>
      </c>
      <c r="N67" s="17">
        <v>6.2</v>
      </c>
      <c r="O67" s="17">
        <v>6</v>
      </c>
      <c r="P67" s="17">
        <v>5.8</v>
      </c>
      <c r="Q67" s="17">
        <v>5.6</v>
      </c>
      <c r="R67" s="17">
        <v>5.4</v>
      </c>
      <c r="S67" s="17">
        <v>5.2</v>
      </c>
      <c r="T67" s="17">
        <v>5</v>
      </c>
      <c r="U67" s="16">
        <v>4.8</v>
      </c>
      <c r="V67" s="16">
        <v>4.5999999999999996</v>
      </c>
      <c r="W67" s="16">
        <v>1500</v>
      </c>
      <c r="X67" s="16">
        <v>1400</v>
      </c>
      <c r="Y67" s="16">
        <v>1350</v>
      </c>
      <c r="Z67" s="16">
        <v>1300</v>
      </c>
      <c r="AA67" s="16">
        <v>1250</v>
      </c>
      <c r="AB67" s="16">
        <v>1200</v>
      </c>
      <c r="AC67" s="16">
        <v>1150</v>
      </c>
      <c r="AD67" s="16">
        <v>1100</v>
      </c>
      <c r="AE67" s="16">
        <v>1000</v>
      </c>
    </row>
    <row r="68" spans="1:31" ht="12.5">
      <c r="A68" s="14" t="s">
        <v>193</v>
      </c>
      <c r="B68" s="14">
        <v>6308559</v>
      </c>
      <c r="C68" s="15"/>
      <c r="D68" s="16">
        <v>2340</v>
      </c>
      <c r="E68" s="16"/>
      <c r="F68" s="16"/>
      <c r="G68" s="16"/>
      <c r="H68" s="16"/>
      <c r="I68" s="16"/>
      <c r="J68" s="16"/>
      <c r="K68" s="17"/>
      <c r="L68" s="17">
        <v>3.9</v>
      </c>
      <c r="M68" s="17">
        <v>2.9</v>
      </c>
      <c r="N68" s="17">
        <v>2.6</v>
      </c>
      <c r="O68" s="17">
        <v>2.2999999999999998</v>
      </c>
      <c r="P68" s="17">
        <v>1.8</v>
      </c>
      <c r="Q68" s="17">
        <v>1.4</v>
      </c>
      <c r="R68" s="17">
        <v>1.2</v>
      </c>
      <c r="S68" s="17">
        <v>1.1000000000000001</v>
      </c>
      <c r="T68" s="17">
        <v>0.9</v>
      </c>
      <c r="U68" s="16">
        <v>0.6</v>
      </c>
      <c r="V68" s="16">
        <v>0.6</v>
      </c>
      <c r="W68" s="16"/>
      <c r="X68" s="16">
        <v>740</v>
      </c>
      <c r="Y68" s="16">
        <v>680</v>
      </c>
      <c r="Z68" s="16">
        <v>420</v>
      </c>
      <c r="AA68" s="16">
        <v>390</v>
      </c>
      <c r="AB68" s="16">
        <v>330</v>
      </c>
      <c r="AC68" s="16">
        <v>270</v>
      </c>
      <c r="AD68" s="16">
        <v>180</v>
      </c>
      <c r="AE68" s="16">
        <v>170</v>
      </c>
    </row>
    <row r="69" spans="1:31" ht="12.5">
      <c r="A69" s="14" t="s">
        <v>194</v>
      </c>
      <c r="B69" s="14">
        <v>6309381</v>
      </c>
      <c r="C69" s="18" t="s">
        <v>140</v>
      </c>
      <c r="D69" s="16"/>
      <c r="E69" s="16">
        <v>300</v>
      </c>
      <c r="F69" s="16">
        <v>400</v>
      </c>
      <c r="G69" s="16">
        <v>560</v>
      </c>
      <c r="H69" s="16">
        <v>570</v>
      </c>
      <c r="I69" s="16">
        <v>580</v>
      </c>
      <c r="J69" s="16">
        <v>14.5</v>
      </c>
      <c r="K69" s="17">
        <v>14.5</v>
      </c>
      <c r="L69" s="17">
        <v>14</v>
      </c>
      <c r="M69" s="17">
        <v>13.9</v>
      </c>
      <c r="N69" s="17">
        <v>13.8</v>
      </c>
      <c r="O69" s="17">
        <v>13.6</v>
      </c>
      <c r="P69" s="17">
        <v>13.4</v>
      </c>
      <c r="Q69" s="17">
        <v>13.2</v>
      </c>
      <c r="R69" s="17">
        <v>12.8</v>
      </c>
      <c r="S69" s="17">
        <v>12.6</v>
      </c>
      <c r="T69" s="17">
        <v>12.4</v>
      </c>
      <c r="U69" s="16">
        <v>12.2</v>
      </c>
      <c r="V69" s="16">
        <v>12</v>
      </c>
      <c r="W69" s="16">
        <v>3400</v>
      </c>
      <c r="X69" s="16">
        <v>3300</v>
      </c>
      <c r="Y69" s="16">
        <v>3200</v>
      </c>
      <c r="Z69" s="16">
        <v>3100</v>
      </c>
      <c r="AA69" s="16">
        <v>3050</v>
      </c>
      <c r="AB69" s="16">
        <v>3000</v>
      </c>
      <c r="AC69" s="16">
        <v>2900</v>
      </c>
      <c r="AD69" s="16">
        <v>2850</v>
      </c>
      <c r="AE69" s="16">
        <v>2800</v>
      </c>
    </row>
    <row r="70" spans="1:31" ht="21">
      <c r="A70" s="14" t="s">
        <v>195</v>
      </c>
      <c r="B70" s="14">
        <v>6307391</v>
      </c>
      <c r="C70" s="15"/>
      <c r="D70" s="16"/>
      <c r="E70" s="16">
        <v>290</v>
      </c>
      <c r="F70" s="16">
        <v>300</v>
      </c>
      <c r="G70" s="16">
        <v>310</v>
      </c>
      <c r="H70" s="16">
        <v>320</v>
      </c>
      <c r="I70" s="16">
        <v>330</v>
      </c>
      <c r="J70" s="16">
        <v>8.1999999999999993</v>
      </c>
      <c r="K70" s="17">
        <v>7.5</v>
      </c>
      <c r="L70" s="17">
        <v>7</v>
      </c>
      <c r="M70" s="17">
        <v>6.4</v>
      </c>
      <c r="N70" s="17">
        <v>6.2</v>
      </c>
      <c r="O70" s="17">
        <v>6</v>
      </c>
      <c r="P70" s="17">
        <v>5.8</v>
      </c>
      <c r="Q70" s="17">
        <v>5.6</v>
      </c>
      <c r="R70" s="17">
        <v>5.4</v>
      </c>
      <c r="S70" s="17">
        <v>5.2</v>
      </c>
      <c r="T70" s="17">
        <v>5</v>
      </c>
      <c r="U70" s="16">
        <v>4.8</v>
      </c>
      <c r="V70" s="16">
        <v>4.5999999999999996</v>
      </c>
      <c r="W70" s="16">
        <v>1500</v>
      </c>
      <c r="X70" s="16">
        <v>1400</v>
      </c>
      <c r="Y70" s="16">
        <v>1350</v>
      </c>
      <c r="Z70" s="16">
        <v>1300</v>
      </c>
      <c r="AA70" s="16">
        <v>1250</v>
      </c>
      <c r="AB70" s="16">
        <v>1200</v>
      </c>
      <c r="AC70" s="16">
        <v>1150</v>
      </c>
      <c r="AD70" s="16">
        <v>1100</v>
      </c>
      <c r="AE70" s="16">
        <v>1000</v>
      </c>
    </row>
    <row r="71" spans="1:31" ht="12.5">
      <c r="A71" s="14" t="s">
        <v>196</v>
      </c>
      <c r="B71" s="14">
        <v>6308003</v>
      </c>
      <c r="C71" s="15"/>
      <c r="D71" s="16"/>
      <c r="E71" s="16">
        <v>300</v>
      </c>
      <c r="F71" s="16">
        <v>400</v>
      </c>
      <c r="G71" s="16">
        <v>600</v>
      </c>
      <c r="H71" s="16">
        <v>800</v>
      </c>
      <c r="I71" s="16">
        <v>840</v>
      </c>
      <c r="J71" s="16">
        <v>21</v>
      </c>
      <c r="K71" s="17">
        <v>21</v>
      </c>
      <c r="L71" s="17">
        <v>20.5</v>
      </c>
      <c r="M71" s="17">
        <v>20</v>
      </c>
      <c r="N71" s="17">
        <v>19.5</v>
      </c>
      <c r="O71" s="17">
        <v>19</v>
      </c>
      <c r="P71" s="17">
        <v>18.8</v>
      </c>
      <c r="Q71" s="17">
        <v>18.399999999999999</v>
      </c>
      <c r="R71" s="17">
        <v>18.2</v>
      </c>
      <c r="S71" s="17">
        <v>18</v>
      </c>
      <c r="T71" s="17">
        <v>17.8</v>
      </c>
      <c r="U71" s="16">
        <v>17.5</v>
      </c>
      <c r="V71" s="16">
        <v>17</v>
      </c>
      <c r="W71" s="16">
        <v>4500</v>
      </c>
      <c r="X71" s="16">
        <v>4400</v>
      </c>
      <c r="Y71" s="16">
        <v>4300</v>
      </c>
      <c r="Z71" s="16">
        <v>4200</v>
      </c>
      <c r="AA71" s="16">
        <v>4100</v>
      </c>
      <c r="AB71" s="16">
        <v>4000</v>
      </c>
      <c r="AC71" s="16">
        <v>3900</v>
      </c>
      <c r="AD71" s="16">
        <v>3800</v>
      </c>
      <c r="AE71" s="16">
        <v>3700</v>
      </c>
    </row>
    <row r="72" spans="1:31" ht="12.5">
      <c r="A72" s="14" t="s">
        <v>197</v>
      </c>
      <c r="B72" s="14">
        <v>6307372</v>
      </c>
      <c r="C72" s="15"/>
      <c r="D72" s="16"/>
      <c r="E72" s="16">
        <v>300</v>
      </c>
      <c r="F72" s="16">
        <v>400</v>
      </c>
      <c r="G72" s="16">
        <v>600</v>
      </c>
      <c r="H72" s="16">
        <v>670</v>
      </c>
      <c r="I72" s="16">
        <v>680</v>
      </c>
      <c r="J72" s="16">
        <v>17</v>
      </c>
      <c r="K72" s="17">
        <v>17</v>
      </c>
      <c r="L72" s="17">
        <v>16.8</v>
      </c>
      <c r="M72" s="17">
        <v>16.600000000000001</v>
      </c>
      <c r="N72" s="17">
        <v>16.5</v>
      </c>
      <c r="O72" s="17">
        <v>16.399999999999999</v>
      </c>
      <c r="P72" s="17">
        <v>16.2</v>
      </c>
      <c r="Q72" s="17">
        <v>16</v>
      </c>
      <c r="R72" s="17">
        <v>15.8</v>
      </c>
      <c r="S72" s="17">
        <v>15.6</v>
      </c>
      <c r="T72" s="17">
        <v>15.4</v>
      </c>
      <c r="U72" s="16">
        <v>15.2</v>
      </c>
      <c r="V72" s="16">
        <v>15</v>
      </c>
      <c r="W72" s="16">
        <v>4100</v>
      </c>
      <c r="X72" s="16">
        <v>4000</v>
      </c>
      <c r="Y72" s="16">
        <v>3950</v>
      </c>
      <c r="Z72" s="16">
        <v>3900</v>
      </c>
      <c r="AA72" s="16">
        <v>3850</v>
      </c>
      <c r="AB72" s="16">
        <v>3800</v>
      </c>
      <c r="AC72" s="16">
        <v>3750</v>
      </c>
      <c r="AD72" s="16">
        <v>3700</v>
      </c>
      <c r="AE72" s="16">
        <v>3600</v>
      </c>
    </row>
    <row r="73" spans="1:31" ht="12.5">
      <c r="A73" s="14" t="s">
        <v>198</v>
      </c>
      <c r="B73" s="14">
        <v>6309888</v>
      </c>
      <c r="C73" s="15"/>
      <c r="D73" s="16"/>
      <c r="E73" s="16">
        <v>300</v>
      </c>
      <c r="F73" s="16">
        <v>400</v>
      </c>
      <c r="G73" s="16">
        <v>420</v>
      </c>
      <c r="H73" s="16">
        <v>430</v>
      </c>
      <c r="I73" s="16">
        <v>440</v>
      </c>
      <c r="J73" s="16">
        <v>11</v>
      </c>
      <c r="K73" s="17">
        <v>11</v>
      </c>
      <c r="L73" s="17">
        <v>10.8</v>
      </c>
      <c r="M73" s="17">
        <v>10.6</v>
      </c>
      <c r="N73" s="17">
        <v>10</v>
      </c>
      <c r="O73" s="17">
        <v>9.8000000000000007</v>
      </c>
      <c r="P73" s="17">
        <v>9.6</v>
      </c>
      <c r="Q73" s="17">
        <v>9.4</v>
      </c>
      <c r="R73" s="17">
        <v>9.3000000000000007</v>
      </c>
      <c r="S73" s="17">
        <v>9.1999999999999993</v>
      </c>
      <c r="T73" s="17">
        <v>9</v>
      </c>
      <c r="U73" s="16">
        <v>8.8000000000000007</v>
      </c>
      <c r="V73" s="16">
        <v>8.6</v>
      </c>
      <c r="W73" s="16">
        <v>2500</v>
      </c>
      <c r="X73" s="16">
        <v>2400</v>
      </c>
      <c r="Y73" s="16">
        <v>2300</v>
      </c>
      <c r="Z73" s="16">
        <v>2200</v>
      </c>
      <c r="AA73" s="16">
        <v>2100</v>
      </c>
      <c r="AB73" s="16">
        <v>2050</v>
      </c>
      <c r="AC73" s="16">
        <v>2000</v>
      </c>
      <c r="AD73" s="16">
        <v>1950</v>
      </c>
      <c r="AE73" s="16">
        <v>1900</v>
      </c>
    </row>
    <row r="74" spans="1:31" ht="12.5">
      <c r="A74" s="14" t="s">
        <v>199</v>
      </c>
      <c r="B74" s="14">
        <v>6309400</v>
      </c>
      <c r="C74" s="15"/>
      <c r="D74" s="16"/>
      <c r="E74" s="16">
        <v>290</v>
      </c>
      <c r="F74" s="16">
        <v>300</v>
      </c>
      <c r="G74" s="16">
        <v>310</v>
      </c>
      <c r="H74" s="16">
        <v>320</v>
      </c>
      <c r="I74" s="16">
        <v>330</v>
      </c>
      <c r="J74" s="16">
        <v>8.1999999999999993</v>
      </c>
      <c r="K74" s="17">
        <v>7.5</v>
      </c>
      <c r="L74" s="17">
        <v>7</v>
      </c>
      <c r="M74" s="17">
        <v>6.4</v>
      </c>
      <c r="N74" s="17">
        <v>6.2</v>
      </c>
      <c r="O74" s="17">
        <v>6</v>
      </c>
      <c r="P74" s="17">
        <v>5.8</v>
      </c>
      <c r="Q74" s="17">
        <v>5.6</v>
      </c>
      <c r="R74" s="17">
        <v>5.4</v>
      </c>
      <c r="S74" s="17">
        <v>5.2</v>
      </c>
      <c r="T74" s="17">
        <v>5</v>
      </c>
      <c r="U74" s="16">
        <v>4.8</v>
      </c>
      <c r="V74" s="16">
        <v>4.5999999999999996</v>
      </c>
      <c r="W74" s="16">
        <v>1500</v>
      </c>
      <c r="X74" s="16">
        <v>1400</v>
      </c>
      <c r="Y74" s="16">
        <v>1350</v>
      </c>
      <c r="Z74" s="16">
        <v>1300</v>
      </c>
      <c r="AA74" s="16">
        <v>1250</v>
      </c>
      <c r="AB74" s="16">
        <v>1200</v>
      </c>
      <c r="AC74" s="16">
        <v>1150</v>
      </c>
      <c r="AD74" s="16">
        <v>1100</v>
      </c>
      <c r="AE74" s="16">
        <v>1000</v>
      </c>
    </row>
    <row r="75" spans="1:31" ht="12.5">
      <c r="A75" s="14" t="s">
        <v>200</v>
      </c>
      <c r="B75" s="14">
        <v>6309657</v>
      </c>
      <c r="C75" s="15"/>
      <c r="D75" s="16"/>
      <c r="E75" s="16">
        <v>300</v>
      </c>
      <c r="F75" s="16">
        <v>330</v>
      </c>
      <c r="G75" s="16">
        <v>340</v>
      </c>
      <c r="H75" s="16">
        <v>350</v>
      </c>
      <c r="I75" s="16">
        <v>360</v>
      </c>
      <c r="J75" s="16">
        <v>9</v>
      </c>
      <c r="K75" s="17">
        <v>9</v>
      </c>
      <c r="L75" s="17">
        <v>8.5</v>
      </c>
      <c r="M75" s="17">
        <v>8</v>
      </c>
      <c r="N75" s="17">
        <v>7.5</v>
      </c>
      <c r="O75" s="17">
        <v>7</v>
      </c>
      <c r="P75" s="17">
        <v>6.5</v>
      </c>
      <c r="Q75" s="17">
        <v>6</v>
      </c>
      <c r="R75" s="17">
        <v>5.8</v>
      </c>
      <c r="S75" s="17">
        <v>5.6</v>
      </c>
      <c r="T75" s="17">
        <v>5.4</v>
      </c>
      <c r="U75" s="16">
        <v>5.2</v>
      </c>
      <c r="V75" s="16">
        <v>5</v>
      </c>
      <c r="W75" s="16">
        <v>2000</v>
      </c>
      <c r="X75" s="16">
        <v>1900</v>
      </c>
      <c r="Y75" s="16">
        <v>1800</v>
      </c>
      <c r="Z75" s="16">
        <v>1700</v>
      </c>
      <c r="AA75" s="16">
        <v>1500</v>
      </c>
      <c r="AB75" s="16">
        <v>1400</v>
      </c>
      <c r="AC75" s="16">
        <v>1350</v>
      </c>
      <c r="AD75" s="16">
        <v>1300</v>
      </c>
      <c r="AE75" s="16">
        <v>1250</v>
      </c>
    </row>
    <row r="76" spans="1:31" ht="12.5">
      <c r="A76" s="14" t="s">
        <v>201</v>
      </c>
      <c r="B76" s="14">
        <v>6307469</v>
      </c>
      <c r="C76" s="18" t="s">
        <v>140</v>
      </c>
      <c r="D76" s="16"/>
      <c r="E76" s="16">
        <v>300</v>
      </c>
      <c r="F76" s="16">
        <v>400</v>
      </c>
      <c r="G76" s="16">
        <v>420</v>
      </c>
      <c r="H76" s="16">
        <v>430</v>
      </c>
      <c r="I76" s="16">
        <v>440</v>
      </c>
      <c r="J76" s="16">
        <v>11</v>
      </c>
      <c r="K76" s="17">
        <v>10.9</v>
      </c>
      <c r="L76" s="17">
        <v>10.8</v>
      </c>
      <c r="M76" s="17">
        <v>10.7</v>
      </c>
      <c r="N76" s="17">
        <v>10.6</v>
      </c>
      <c r="O76" s="17">
        <v>10.5</v>
      </c>
      <c r="P76" s="17">
        <v>10.4</v>
      </c>
      <c r="Q76" s="17">
        <v>10.3</v>
      </c>
      <c r="R76" s="17">
        <v>10.199999999999999</v>
      </c>
      <c r="S76" s="17">
        <v>10.1</v>
      </c>
      <c r="T76" s="17">
        <v>10</v>
      </c>
      <c r="U76" s="16">
        <v>9.9</v>
      </c>
      <c r="V76" s="16">
        <v>9.8000000000000007</v>
      </c>
      <c r="W76" s="16">
        <v>3000</v>
      </c>
      <c r="X76" s="16">
        <v>2900</v>
      </c>
      <c r="Y76" s="16">
        <v>2800</v>
      </c>
      <c r="Z76" s="16">
        <v>2750</v>
      </c>
      <c r="AA76" s="16">
        <v>2700</v>
      </c>
      <c r="AB76" s="16">
        <v>2650</v>
      </c>
      <c r="AC76" s="16">
        <v>2600</v>
      </c>
      <c r="AD76" s="16">
        <v>2550</v>
      </c>
      <c r="AE76" s="16">
        <v>2500</v>
      </c>
    </row>
    <row r="77" spans="1:31" ht="12.5">
      <c r="A77" s="14" t="s">
        <v>202</v>
      </c>
      <c r="B77" s="14">
        <v>6309451</v>
      </c>
      <c r="C77" s="18" t="s">
        <v>140</v>
      </c>
      <c r="D77" s="16"/>
      <c r="E77" s="16">
        <v>290</v>
      </c>
      <c r="F77" s="16">
        <v>300</v>
      </c>
      <c r="G77" s="16">
        <v>310</v>
      </c>
      <c r="H77" s="16">
        <v>320</v>
      </c>
      <c r="I77" s="16">
        <v>330</v>
      </c>
      <c r="J77" s="16">
        <v>8.1999999999999993</v>
      </c>
      <c r="K77" s="17">
        <v>5.4</v>
      </c>
      <c r="L77" s="17">
        <v>4.4000000000000004</v>
      </c>
      <c r="M77" s="17">
        <v>4</v>
      </c>
      <c r="N77" s="17">
        <v>3.8</v>
      </c>
      <c r="O77" s="17">
        <v>3.6</v>
      </c>
      <c r="P77" s="17">
        <v>3.3</v>
      </c>
      <c r="Q77" s="17">
        <v>3</v>
      </c>
      <c r="R77" s="17">
        <v>2.6</v>
      </c>
      <c r="S77" s="17">
        <v>2.4</v>
      </c>
      <c r="T77" s="17">
        <v>2.2000000000000002</v>
      </c>
      <c r="U77" s="16">
        <v>2.1</v>
      </c>
      <c r="V77" s="16">
        <v>2</v>
      </c>
      <c r="W77" s="16">
        <v>1200</v>
      </c>
      <c r="X77" s="16">
        <v>1100</v>
      </c>
      <c r="Y77" s="16">
        <v>900</v>
      </c>
      <c r="Z77" s="16">
        <v>800</v>
      </c>
      <c r="AA77" s="16">
        <v>750</v>
      </c>
      <c r="AB77" s="16">
        <v>700</v>
      </c>
      <c r="AC77" s="16">
        <v>600</v>
      </c>
      <c r="AD77" s="16">
        <v>550</v>
      </c>
      <c r="AE77" s="16">
        <v>500</v>
      </c>
    </row>
    <row r="78" spans="1:31" ht="12.5">
      <c r="A78" s="14" t="s">
        <v>203</v>
      </c>
      <c r="B78" s="14">
        <v>6309904</v>
      </c>
      <c r="C78" s="15"/>
      <c r="D78" s="16"/>
      <c r="E78" s="16">
        <v>300</v>
      </c>
      <c r="F78" s="16">
        <v>400</v>
      </c>
      <c r="G78" s="16">
        <v>460</v>
      </c>
      <c r="H78" s="16">
        <v>470</v>
      </c>
      <c r="I78" s="16">
        <v>480</v>
      </c>
      <c r="J78" s="16">
        <v>12</v>
      </c>
      <c r="K78" s="17">
        <v>12</v>
      </c>
      <c r="L78" s="17">
        <v>11.9</v>
      </c>
      <c r="M78" s="17">
        <v>11.8</v>
      </c>
      <c r="N78" s="17">
        <v>11.7</v>
      </c>
      <c r="O78" s="17">
        <v>11.6</v>
      </c>
      <c r="P78" s="17">
        <v>11.5</v>
      </c>
      <c r="Q78" s="17">
        <v>11.4</v>
      </c>
      <c r="R78" s="17">
        <v>11.2</v>
      </c>
      <c r="S78" s="17">
        <v>11</v>
      </c>
      <c r="T78" s="17">
        <v>10.8</v>
      </c>
      <c r="U78" s="16">
        <v>10.6</v>
      </c>
      <c r="V78" s="16">
        <v>10.4</v>
      </c>
      <c r="W78" s="16">
        <v>2600</v>
      </c>
      <c r="X78" s="16">
        <v>2550</v>
      </c>
      <c r="Y78" s="16">
        <v>2500</v>
      </c>
      <c r="Z78" s="16">
        <v>2450</v>
      </c>
      <c r="AA78" s="16">
        <v>2400</v>
      </c>
      <c r="AB78" s="16">
        <v>2350</v>
      </c>
      <c r="AC78" s="16">
        <v>2300</v>
      </c>
      <c r="AD78" s="16">
        <v>2300</v>
      </c>
      <c r="AE78" s="16">
        <v>2300</v>
      </c>
    </row>
    <row r="79" spans="1:31" ht="12.5">
      <c r="A79" s="14" t="s">
        <v>204</v>
      </c>
      <c r="B79" s="14">
        <v>6309820</v>
      </c>
      <c r="C79" s="15"/>
      <c r="D79" s="16"/>
      <c r="E79" s="16">
        <v>300</v>
      </c>
      <c r="F79" s="16">
        <v>330</v>
      </c>
      <c r="G79" s="16">
        <v>340</v>
      </c>
      <c r="H79" s="16">
        <v>350</v>
      </c>
      <c r="I79" s="16">
        <v>360</v>
      </c>
      <c r="J79" s="16">
        <v>9</v>
      </c>
      <c r="K79" s="17">
        <v>9</v>
      </c>
      <c r="L79" s="17">
        <v>8</v>
      </c>
      <c r="M79" s="17">
        <v>7.5</v>
      </c>
      <c r="N79" s="17">
        <v>7</v>
      </c>
      <c r="O79" s="17">
        <v>6.5</v>
      </c>
      <c r="P79" s="17">
        <v>6</v>
      </c>
      <c r="Q79" s="17">
        <v>5.8</v>
      </c>
      <c r="R79" s="17">
        <v>5.5</v>
      </c>
      <c r="S79" s="17">
        <v>5.3</v>
      </c>
      <c r="T79" s="17">
        <v>5.2</v>
      </c>
      <c r="U79" s="16">
        <v>5.0999999999999996</v>
      </c>
      <c r="V79" s="16">
        <v>5</v>
      </c>
      <c r="W79" s="16">
        <v>2000</v>
      </c>
      <c r="X79" s="16">
        <v>1900</v>
      </c>
      <c r="Y79" s="16">
        <v>1800</v>
      </c>
      <c r="Z79" s="16">
        <v>1600</v>
      </c>
      <c r="AA79" s="16">
        <v>1400</v>
      </c>
      <c r="AB79" s="16">
        <v>1300</v>
      </c>
      <c r="AC79" s="16">
        <v>1270</v>
      </c>
      <c r="AD79" s="16">
        <v>1260</v>
      </c>
      <c r="AE79" s="16">
        <v>1250</v>
      </c>
    </row>
    <row r="80" spans="1:31" ht="12.5">
      <c r="A80" s="14" t="s">
        <v>205</v>
      </c>
      <c r="B80" s="14">
        <v>6309477</v>
      </c>
      <c r="C80" s="15"/>
      <c r="D80" s="16"/>
      <c r="E80" s="16">
        <v>290</v>
      </c>
      <c r="F80" s="16">
        <v>300</v>
      </c>
      <c r="G80" s="16">
        <v>310</v>
      </c>
      <c r="H80" s="16">
        <v>320</v>
      </c>
      <c r="I80" s="16">
        <v>330</v>
      </c>
      <c r="J80" s="16">
        <v>8.1999999999999993</v>
      </c>
      <c r="K80" s="17">
        <v>6</v>
      </c>
      <c r="L80" s="17">
        <v>5.8</v>
      </c>
      <c r="M80" s="17">
        <v>5.6</v>
      </c>
      <c r="N80" s="17">
        <v>5.4</v>
      </c>
      <c r="O80" s="17">
        <v>5.3</v>
      </c>
      <c r="P80" s="17">
        <v>5.2</v>
      </c>
      <c r="Q80" s="17">
        <v>4.5999999999999996</v>
      </c>
      <c r="R80" s="17">
        <v>4.2</v>
      </c>
      <c r="S80" s="17">
        <v>4</v>
      </c>
      <c r="T80" s="17">
        <v>3.6</v>
      </c>
      <c r="U80" s="16">
        <v>3.4</v>
      </c>
      <c r="V80" s="16">
        <v>3</v>
      </c>
      <c r="W80" s="16">
        <v>1400</v>
      </c>
      <c r="X80" s="16">
        <v>1300</v>
      </c>
      <c r="Y80" s="16">
        <v>1200</v>
      </c>
      <c r="Z80" s="16">
        <v>1100</v>
      </c>
      <c r="AA80" s="16">
        <v>1000</v>
      </c>
      <c r="AB80" s="16">
        <v>900</v>
      </c>
      <c r="AC80" s="16">
        <v>800</v>
      </c>
      <c r="AD80" s="16">
        <v>750</v>
      </c>
      <c r="AE80" s="16">
        <v>700</v>
      </c>
    </row>
    <row r="81" spans="1:31" ht="12.5">
      <c r="A81" s="14" t="s">
        <v>206</v>
      </c>
      <c r="B81" s="14">
        <v>6309483</v>
      </c>
      <c r="C81" s="15"/>
      <c r="D81" s="16"/>
      <c r="E81" s="16">
        <v>300</v>
      </c>
      <c r="F81" s="16">
        <v>400</v>
      </c>
      <c r="G81" s="16">
        <v>420</v>
      </c>
      <c r="H81" s="16">
        <v>430</v>
      </c>
      <c r="I81" s="16">
        <v>440</v>
      </c>
      <c r="J81" s="16">
        <v>11</v>
      </c>
      <c r="K81" s="17">
        <v>11</v>
      </c>
      <c r="L81" s="17">
        <v>10.5</v>
      </c>
      <c r="M81" s="17">
        <v>10</v>
      </c>
      <c r="N81" s="17">
        <v>9.5</v>
      </c>
      <c r="O81" s="17">
        <v>9</v>
      </c>
      <c r="P81" s="17">
        <v>8.8000000000000007</v>
      </c>
      <c r="Q81" s="17">
        <v>8.6</v>
      </c>
      <c r="R81" s="17">
        <v>8.4</v>
      </c>
      <c r="S81" s="17">
        <v>8.1999999999999993</v>
      </c>
      <c r="T81" s="17">
        <v>8</v>
      </c>
      <c r="U81" s="16">
        <v>7.8</v>
      </c>
      <c r="V81" s="16">
        <v>7.6</v>
      </c>
      <c r="W81" s="16">
        <v>2500</v>
      </c>
      <c r="X81" s="16">
        <v>2400</v>
      </c>
      <c r="Y81" s="16">
        <v>2300</v>
      </c>
      <c r="Z81" s="16">
        <v>2200</v>
      </c>
      <c r="AA81" s="16">
        <v>2100</v>
      </c>
      <c r="AB81" s="16">
        <v>2000</v>
      </c>
      <c r="AC81" s="16">
        <v>1900</v>
      </c>
      <c r="AD81" s="16">
        <v>1880</v>
      </c>
      <c r="AE81" s="16">
        <v>1850</v>
      </c>
    </row>
    <row r="82" spans="1:31" ht="12.5">
      <c r="A82" s="14" t="s">
        <v>207</v>
      </c>
      <c r="B82" s="14">
        <v>6309486</v>
      </c>
      <c r="C82" s="18" t="s">
        <v>140</v>
      </c>
      <c r="D82" s="16"/>
      <c r="E82" s="16">
        <v>300</v>
      </c>
      <c r="F82" s="16">
        <v>400</v>
      </c>
      <c r="G82" s="16">
        <v>420</v>
      </c>
      <c r="H82" s="16">
        <v>430</v>
      </c>
      <c r="I82" s="16">
        <v>440</v>
      </c>
      <c r="J82" s="16">
        <v>11</v>
      </c>
      <c r="K82" s="17">
        <v>11</v>
      </c>
      <c r="L82" s="17">
        <v>10.5</v>
      </c>
      <c r="M82" s="17">
        <v>10</v>
      </c>
      <c r="N82" s="17">
        <v>9.5</v>
      </c>
      <c r="O82" s="17">
        <v>9</v>
      </c>
      <c r="P82" s="17">
        <v>8.8000000000000007</v>
      </c>
      <c r="Q82" s="17">
        <v>8.6</v>
      </c>
      <c r="R82" s="17">
        <v>8.4</v>
      </c>
      <c r="S82" s="17">
        <v>8.1999999999999993</v>
      </c>
      <c r="T82" s="17">
        <v>8</v>
      </c>
      <c r="U82" s="16">
        <v>7.8</v>
      </c>
      <c r="V82" s="16">
        <v>7.6</v>
      </c>
      <c r="W82" s="16">
        <v>2500</v>
      </c>
      <c r="X82" s="16">
        <v>2400</v>
      </c>
      <c r="Y82" s="16">
        <v>2300</v>
      </c>
      <c r="Z82" s="16">
        <v>2200</v>
      </c>
      <c r="AA82" s="16">
        <v>2100</v>
      </c>
      <c r="AB82" s="16">
        <v>2000</v>
      </c>
      <c r="AC82" s="16">
        <v>1900</v>
      </c>
      <c r="AD82" s="16">
        <v>1880</v>
      </c>
      <c r="AE82" s="16">
        <v>1850</v>
      </c>
    </row>
    <row r="83" spans="1:31" ht="12.5">
      <c r="A83" s="14" t="s">
        <v>208</v>
      </c>
      <c r="B83" s="14">
        <v>6308538</v>
      </c>
      <c r="C83" s="15"/>
      <c r="D83" s="16">
        <v>200</v>
      </c>
      <c r="E83" s="16"/>
      <c r="F83" s="16"/>
      <c r="G83" s="16"/>
      <c r="H83" s="16"/>
      <c r="I83" s="16"/>
      <c r="J83" s="16"/>
      <c r="K83" s="17"/>
      <c r="L83" s="17">
        <v>1.4</v>
      </c>
      <c r="M83" s="17">
        <v>1</v>
      </c>
      <c r="N83" s="17">
        <v>0.9</v>
      </c>
      <c r="O83" s="17">
        <v>0.8</v>
      </c>
      <c r="P83" s="17">
        <v>0.6</v>
      </c>
      <c r="Q83" s="17">
        <v>0.5</v>
      </c>
      <c r="R83" s="17">
        <v>0.4</v>
      </c>
      <c r="S83" s="17">
        <v>0.4</v>
      </c>
      <c r="T83" s="17">
        <v>0.3</v>
      </c>
      <c r="U83" s="16">
        <v>0.3</v>
      </c>
      <c r="V83" s="16">
        <v>0.3</v>
      </c>
      <c r="W83" s="16"/>
      <c r="X83" s="16">
        <v>210</v>
      </c>
      <c r="Y83" s="16">
        <v>190</v>
      </c>
      <c r="Z83" s="16">
        <v>150</v>
      </c>
      <c r="AA83" s="16">
        <v>140</v>
      </c>
      <c r="AB83" s="16">
        <v>120</v>
      </c>
      <c r="AC83" s="16">
        <v>100</v>
      </c>
      <c r="AD83" s="16">
        <v>80</v>
      </c>
      <c r="AE83" s="16">
        <v>70</v>
      </c>
    </row>
    <row r="84" spans="1:31" ht="12.5">
      <c r="A84" s="14" t="s">
        <v>209</v>
      </c>
      <c r="B84" s="14">
        <v>6489592</v>
      </c>
      <c r="C84" s="15"/>
      <c r="D84" s="16"/>
      <c r="E84" s="16">
        <v>600</v>
      </c>
      <c r="F84" s="16">
        <v>800</v>
      </c>
      <c r="G84" s="16">
        <v>960</v>
      </c>
      <c r="H84" s="16">
        <v>970</v>
      </c>
      <c r="I84" s="16">
        <v>980</v>
      </c>
      <c r="J84" s="16">
        <v>24.4</v>
      </c>
      <c r="K84" s="17">
        <v>20.3</v>
      </c>
      <c r="L84" s="17">
        <v>19</v>
      </c>
      <c r="M84" s="17">
        <v>18.2</v>
      </c>
      <c r="N84" s="17">
        <v>17.399999999999999</v>
      </c>
      <c r="O84" s="17">
        <v>16.600000000000001</v>
      </c>
      <c r="P84" s="17">
        <v>15.7</v>
      </c>
      <c r="Q84" s="17">
        <v>15.2</v>
      </c>
      <c r="R84" s="17">
        <v>14.6</v>
      </c>
      <c r="S84" s="17">
        <v>14.2</v>
      </c>
      <c r="T84" s="17">
        <v>13.6</v>
      </c>
      <c r="U84" s="16">
        <v>13.1</v>
      </c>
      <c r="V84" s="16">
        <v>12.5</v>
      </c>
      <c r="W84" s="16">
        <v>4250</v>
      </c>
      <c r="X84" s="16">
        <v>4150</v>
      </c>
      <c r="Y84" s="16">
        <v>3850</v>
      </c>
      <c r="Z84" s="16">
        <v>3650</v>
      </c>
      <c r="AA84" s="16">
        <v>3500</v>
      </c>
      <c r="AB84" s="16">
        <v>3350</v>
      </c>
      <c r="AC84" s="16">
        <v>3200</v>
      </c>
      <c r="AD84" s="16">
        <v>3100</v>
      </c>
      <c r="AE84" s="16">
        <v>3000</v>
      </c>
    </row>
    <row r="85" spans="1:31" ht="12.5">
      <c r="A85" s="14" t="s">
        <v>210</v>
      </c>
      <c r="B85" s="14">
        <v>6309502</v>
      </c>
      <c r="C85" s="15"/>
      <c r="D85" s="16"/>
      <c r="E85" s="16">
        <v>300</v>
      </c>
      <c r="F85" s="16">
        <v>400</v>
      </c>
      <c r="G85" s="16">
        <v>410</v>
      </c>
      <c r="H85" s="16">
        <v>420</v>
      </c>
      <c r="I85" s="16">
        <v>430</v>
      </c>
      <c r="J85" s="16">
        <v>10.7</v>
      </c>
      <c r="K85" s="17">
        <v>10.7</v>
      </c>
      <c r="L85" s="17">
        <v>10.5</v>
      </c>
      <c r="M85" s="17">
        <v>10</v>
      </c>
      <c r="N85" s="17">
        <v>9.5</v>
      </c>
      <c r="O85" s="17">
        <v>9.1999999999999993</v>
      </c>
      <c r="P85" s="17">
        <v>8.9</v>
      </c>
      <c r="Q85" s="17">
        <v>8.8000000000000007</v>
      </c>
      <c r="R85" s="17">
        <v>8.5</v>
      </c>
      <c r="S85" s="17">
        <v>8.1999999999999993</v>
      </c>
      <c r="T85" s="17">
        <v>7.7</v>
      </c>
      <c r="U85" s="16">
        <v>7.2</v>
      </c>
      <c r="V85" s="16">
        <v>7.2</v>
      </c>
      <c r="W85" s="16">
        <v>1950</v>
      </c>
      <c r="X85" s="16">
        <v>1900</v>
      </c>
      <c r="Y85" s="16">
        <v>1900</v>
      </c>
      <c r="Z85" s="16">
        <v>1880</v>
      </c>
      <c r="AA85" s="16">
        <v>1800</v>
      </c>
      <c r="AB85" s="16">
        <v>1700</v>
      </c>
      <c r="AC85" s="16">
        <v>1580</v>
      </c>
      <c r="AD85" s="16">
        <v>1500</v>
      </c>
      <c r="AE85" s="16">
        <v>1450</v>
      </c>
    </row>
    <row r="86" spans="1:31" ht="12.5">
      <c r="A86" s="14" t="s">
        <v>211</v>
      </c>
      <c r="B86" s="14">
        <v>6309513</v>
      </c>
      <c r="C86" s="15"/>
      <c r="D86" s="16"/>
      <c r="E86" s="16">
        <v>290</v>
      </c>
      <c r="F86" s="16">
        <v>300</v>
      </c>
      <c r="G86" s="16">
        <v>310</v>
      </c>
      <c r="H86" s="16">
        <v>320</v>
      </c>
      <c r="I86" s="16">
        <v>330</v>
      </c>
      <c r="J86" s="16">
        <v>8.1999999999999993</v>
      </c>
      <c r="K86" s="17">
        <v>8</v>
      </c>
      <c r="L86" s="17">
        <v>7.5</v>
      </c>
      <c r="M86" s="17">
        <v>7</v>
      </c>
      <c r="N86" s="17">
        <v>6.5</v>
      </c>
      <c r="O86" s="17">
        <v>6</v>
      </c>
      <c r="P86" s="17">
        <v>5.8</v>
      </c>
      <c r="Q86" s="17">
        <v>5.7</v>
      </c>
      <c r="R86" s="17">
        <v>5.6</v>
      </c>
      <c r="S86" s="17">
        <v>5.5</v>
      </c>
      <c r="T86" s="17">
        <v>5.4</v>
      </c>
      <c r="U86" s="16">
        <v>5.3</v>
      </c>
      <c r="V86" s="16">
        <v>5.2</v>
      </c>
      <c r="W86" s="16">
        <v>1600</v>
      </c>
      <c r="X86" s="16">
        <v>1550</v>
      </c>
      <c r="Y86" s="16">
        <v>1500</v>
      </c>
      <c r="Z86" s="16">
        <v>1400</v>
      </c>
      <c r="AA86" s="16">
        <v>1350</v>
      </c>
      <c r="AB86" s="16">
        <v>1300</v>
      </c>
      <c r="AC86" s="16">
        <v>1300</v>
      </c>
      <c r="AD86" s="16">
        <v>1280</v>
      </c>
      <c r="AE86" s="16">
        <v>1250</v>
      </c>
    </row>
    <row r="87" spans="1:31" ht="12.5">
      <c r="A87" s="14" t="s">
        <v>212</v>
      </c>
      <c r="B87" s="14">
        <v>6307337</v>
      </c>
      <c r="C87" s="18" t="s">
        <v>140</v>
      </c>
      <c r="D87" s="16"/>
      <c r="E87" s="16">
        <v>300</v>
      </c>
      <c r="F87" s="16">
        <v>400</v>
      </c>
      <c r="G87" s="16">
        <v>500</v>
      </c>
      <c r="H87" s="16">
        <v>510</v>
      </c>
      <c r="I87" s="16">
        <v>520</v>
      </c>
      <c r="J87" s="16">
        <v>13</v>
      </c>
      <c r="K87" s="17">
        <v>13</v>
      </c>
      <c r="L87" s="17">
        <v>12</v>
      </c>
      <c r="M87" s="17">
        <v>11.8</v>
      </c>
      <c r="N87" s="17">
        <v>11.6</v>
      </c>
      <c r="O87" s="17">
        <v>11.4</v>
      </c>
      <c r="P87" s="17">
        <v>11.2</v>
      </c>
      <c r="Q87" s="17">
        <v>11</v>
      </c>
      <c r="R87" s="17">
        <v>10.5</v>
      </c>
      <c r="S87" s="17">
        <v>10.199999999999999</v>
      </c>
      <c r="T87" s="17">
        <v>10</v>
      </c>
      <c r="U87" s="16">
        <v>9.5</v>
      </c>
      <c r="V87" s="16">
        <v>9</v>
      </c>
      <c r="W87" s="16">
        <v>3100</v>
      </c>
      <c r="X87" s="16">
        <v>3000</v>
      </c>
      <c r="Y87" s="16">
        <v>2900</v>
      </c>
      <c r="Z87" s="16">
        <v>2800</v>
      </c>
      <c r="AA87" s="16">
        <v>2700</v>
      </c>
      <c r="AB87" s="16">
        <v>2600</v>
      </c>
      <c r="AC87" s="16">
        <v>2580</v>
      </c>
      <c r="AD87" s="16">
        <v>2550</v>
      </c>
      <c r="AE87" s="16">
        <v>2500</v>
      </c>
    </row>
    <row r="88" spans="1:31" ht="12.5">
      <c r="A88" s="14" t="s">
        <v>213</v>
      </c>
      <c r="B88" s="14">
        <v>6489594</v>
      </c>
      <c r="C88" s="15"/>
      <c r="D88" s="16"/>
      <c r="E88" s="16">
        <v>600</v>
      </c>
      <c r="F88" s="16">
        <v>800</v>
      </c>
      <c r="G88" s="16">
        <v>1000</v>
      </c>
      <c r="H88" s="16">
        <v>1080</v>
      </c>
      <c r="I88" s="16">
        <v>1090</v>
      </c>
      <c r="J88" s="16">
        <v>27.2</v>
      </c>
      <c r="K88" s="17">
        <v>23.4</v>
      </c>
      <c r="L88" s="17">
        <v>21.7</v>
      </c>
      <c r="M88" s="17">
        <v>20.5</v>
      </c>
      <c r="N88" s="17">
        <v>19.3</v>
      </c>
      <c r="O88" s="17">
        <v>18.100000000000001</v>
      </c>
      <c r="P88" s="17">
        <v>16.8</v>
      </c>
      <c r="Q88" s="17">
        <v>15.9</v>
      </c>
      <c r="R88" s="17">
        <v>14.9</v>
      </c>
      <c r="S88" s="17">
        <v>14.4</v>
      </c>
      <c r="T88" s="17">
        <v>13.8</v>
      </c>
      <c r="U88" s="16">
        <v>13.4</v>
      </c>
      <c r="V88" s="16">
        <v>13</v>
      </c>
      <c r="W88" s="16">
        <v>4950</v>
      </c>
      <c r="X88" s="16">
        <v>4850</v>
      </c>
      <c r="Y88" s="16">
        <v>4500</v>
      </c>
      <c r="Z88" s="16">
        <v>4250</v>
      </c>
      <c r="AA88" s="16">
        <v>4050</v>
      </c>
      <c r="AB88" s="16">
        <v>3850</v>
      </c>
      <c r="AC88" s="16">
        <v>3650</v>
      </c>
      <c r="AD88" s="16">
        <v>3500</v>
      </c>
      <c r="AE88" s="16">
        <v>3350</v>
      </c>
    </row>
    <row r="89" spans="1:31" ht="12.5">
      <c r="A89" s="14" t="s">
        <v>214</v>
      </c>
      <c r="B89" s="14">
        <v>6308544</v>
      </c>
      <c r="C89" s="18" t="s">
        <v>140</v>
      </c>
      <c r="D89" s="16"/>
      <c r="E89" s="16">
        <v>290</v>
      </c>
      <c r="F89" s="16">
        <v>300</v>
      </c>
      <c r="G89" s="16">
        <v>310</v>
      </c>
      <c r="H89" s="16">
        <v>320</v>
      </c>
      <c r="I89" s="16">
        <v>330</v>
      </c>
      <c r="J89" s="16">
        <v>8.1999999999999993</v>
      </c>
      <c r="K89" s="17">
        <v>5.4</v>
      </c>
      <c r="L89" s="17">
        <v>4.4000000000000004</v>
      </c>
      <c r="M89" s="17">
        <v>3.7</v>
      </c>
      <c r="N89" s="17">
        <v>3.6</v>
      </c>
      <c r="O89" s="17">
        <v>3.3</v>
      </c>
      <c r="P89" s="17">
        <v>3.1</v>
      </c>
      <c r="Q89" s="17">
        <v>2.9</v>
      </c>
      <c r="R89" s="17">
        <v>2.6</v>
      </c>
      <c r="S89" s="17">
        <v>2.4</v>
      </c>
      <c r="T89" s="17">
        <v>2.2000000000000002</v>
      </c>
      <c r="U89" s="16">
        <v>2.1</v>
      </c>
      <c r="V89" s="16">
        <v>2</v>
      </c>
      <c r="W89" s="16">
        <v>1200</v>
      </c>
      <c r="X89" s="16">
        <v>1100</v>
      </c>
      <c r="Y89" s="16">
        <v>800</v>
      </c>
      <c r="Z89" s="16">
        <v>750</v>
      </c>
      <c r="AA89" s="16">
        <v>700</v>
      </c>
      <c r="AB89" s="16">
        <v>650</v>
      </c>
      <c r="AC89" s="16">
        <v>600</v>
      </c>
      <c r="AD89" s="16">
        <v>550</v>
      </c>
      <c r="AE89" s="16">
        <v>500</v>
      </c>
    </row>
    <row r="90" spans="1:31" ht="12.5">
      <c r="A90" s="14" t="s">
        <v>215</v>
      </c>
      <c r="B90" s="14">
        <v>6309538</v>
      </c>
      <c r="C90" s="18" t="s">
        <v>140</v>
      </c>
      <c r="D90" s="16"/>
      <c r="E90" s="16">
        <v>300</v>
      </c>
      <c r="F90" s="16">
        <v>400</v>
      </c>
      <c r="G90" s="16">
        <v>500</v>
      </c>
      <c r="H90" s="16">
        <v>510</v>
      </c>
      <c r="I90" s="16">
        <v>520</v>
      </c>
      <c r="J90" s="16">
        <v>13</v>
      </c>
      <c r="K90" s="17">
        <v>13</v>
      </c>
      <c r="L90" s="17">
        <v>12</v>
      </c>
      <c r="M90" s="17">
        <v>11.8</v>
      </c>
      <c r="N90" s="17">
        <v>11.6</v>
      </c>
      <c r="O90" s="17">
        <v>11.4</v>
      </c>
      <c r="P90" s="17">
        <v>11.2</v>
      </c>
      <c r="Q90" s="17">
        <v>11</v>
      </c>
      <c r="R90" s="17">
        <v>10.5</v>
      </c>
      <c r="S90" s="17">
        <v>10.199999999999999</v>
      </c>
      <c r="T90" s="17">
        <v>10</v>
      </c>
      <c r="U90" s="16">
        <v>9.5</v>
      </c>
      <c r="V90" s="16">
        <v>9</v>
      </c>
      <c r="W90" s="16">
        <v>3100</v>
      </c>
      <c r="X90" s="16">
        <v>3000</v>
      </c>
      <c r="Y90" s="16">
        <v>2900</v>
      </c>
      <c r="Z90" s="16">
        <v>2800</v>
      </c>
      <c r="AA90" s="16">
        <v>2700</v>
      </c>
      <c r="AB90" s="16">
        <v>2600</v>
      </c>
      <c r="AC90" s="16">
        <v>2580</v>
      </c>
      <c r="AD90" s="16">
        <v>2550</v>
      </c>
      <c r="AE90" s="16">
        <v>2500</v>
      </c>
    </row>
    <row r="91" spans="1:31" ht="12.5">
      <c r="A91" s="14" t="s">
        <v>216</v>
      </c>
      <c r="B91" s="14">
        <v>6309552</v>
      </c>
      <c r="C91" s="15"/>
      <c r="D91" s="16"/>
      <c r="E91" s="16">
        <v>300</v>
      </c>
      <c r="F91" s="16">
        <v>400</v>
      </c>
      <c r="G91" s="16">
        <v>460</v>
      </c>
      <c r="H91" s="16">
        <v>470</v>
      </c>
      <c r="I91" s="16">
        <v>480</v>
      </c>
      <c r="J91" s="16">
        <v>12</v>
      </c>
      <c r="K91" s="17">
        <v>11.5</v>
      </c>
      <c r="L91" s="17">
        <v>11</v>
      </c>
      <c r="M91" s="17">
        <v>10.5</v>
      </c>
      <c r="N91" s="17">
        <v>10</v>
      </c>
      <c r="O91" s="17">
        <v>9.5</v>
      </c>
      <c r="P91" s="17">
        <v>9</v>
      </c>
      <c r="Q91" s="17">
        <v>8.5</v>
      </c>
      <c r="R91" s="17">
        <v>8.4</v>
      </c>
      <c r="S91" s="17">
        <v>8.3000000000000007</v>
      </c>
      <c r="T91" s="17">
        <v>8.1999999999999993</v>
      </c>
      <c r="U91" s="16">
        <v>8.1</v>
      </c>
      <c r="V91" s="16">
        <v>8</v>
      </c>
      <c r="W91" s="16">
        <v>2500</v>
      </c>
      <c r="X91" s="16">
        <v>2400</v>
      </c>
      <c r="Y91" s="16">
        <v>2300</v>
      </c>
      <c r="Z91" s="16">
        <v>2200</v>
      </c>
      <c r="AA91" s="16">
        <v>2150</v>
      </c>
      <c r="AB91" s="16">
        <v>2100</v>
      </c>
      <c r="AC91" s="16">
        <v>2050</v>
      </c>
      <c r="AD91" s="16">
        <v>2000</v>
      </c>
      <c r="AE91" s="16">
        <v>1900</v>
      </c>
    </row>
    <row r="92" spans="1:31" ht="12.5">
      <c r="A92" s="14" t="s">
        <v>217</v>
      </c>
      <c r="B92" s="14">
        <v>6307447</v>
      </c>
      <c r="C92" s="18" t="s">
        <v>140</v>
      </c>
      <c r="D92" s="16"/>
      <c r="E92" s="16">
        <v>290</v>
      </c>
      <c r="F92" s="16">
        <v>300</v>
      </c>
      <c r="G92" s="16">
        <v>310</v>
      </c>
      <c r="H92" s="16">
        <v>320</v>
      </c>
      <c r="I92" s="16">
        <v>330</v>
      </c>
      <c r="J92" s="16">
        <v>8.1999999999999993</v>
      </c>
      <c r="K92" s="17">
        <v>8</v>
      </c>
      <c r="L92" s="17">
        <v>7.8</v>
      </c>
      <c r="M92" s="17">
        <v>7.6</v>
      </c>
      <c r="N92" s="17">
        <v>7.4</v>
      </c>
      <c r="O92" s="17">
        <v>7.2</v>
      </c>
      <c r="P92" s="17">
        <v>7</v>
      </c>
      <c r="Q92" s="17">
        <v>6.8</v>
      </c>
      <c r="R92" s="17">
        <v>6.6</v>
      </c>
      <c r="S92" s="17">
        <v>6.4</v>
      </c>
      <c r="T92" s="17">
        <v>6.2</v>
      </c>
      <c r="U92" s="16">
        <v>6.1</v>
      </c>
      <c r="V92" s="16">
        <v>6</v>
      </c>
      <c r="W92" s="16">
        <v>2000</v>
      </c>
      <c r="X92" s="16">
        <v>1900</v>
      </c>
      <c r="Y92" s="16">
        <v>1800</v>
      </c>
      <c r="Z92" s="16">
        <v>1700</v>
      </c>
      <c r="AA92" s="16">
        <v>1600</v>
      </c>
      <c r="AB92" s="16">
        <v>1500</v>
      </c>
      <c r="AC92" s="16">
        <v>1400</v>
      </c>
      <c r="AD92" s="16">
        <v>1300</v>
      </c>
      <c r="AE92" s="16">
        <v>1200</v>
      </c>
    </row>
    <row r="93" spans="1:31" ht="12.5">
      <c r="A93" s="14" t="s">
        <v>218</v>
      </c>
      <c r="B93" s="14">
        <v>6309575</v>
      </c>
      <c r="C93" s="15"/>
      <c r="D93" s="16"/>
      <c r="E93" s="16">
        <v>290</v>
      </c>
      <c r="F93" s="16">
        <v>300</v>
      </c>
      <c r="G93" s="16">
        <v>310</v>
      </c>
      <c r="H93" s="16">
        <v>320</v>
      </c>
      <c r="I93" s="16">
        <v>330</v>
      </c>
      <c r="J93" s="16">
        <v>8.1999999999999993</v>
      </c>
      <c r="K93" s="17">
        <v>7.5</v>
      </c>
      <c r="L93" s="17">
        <v>7</v>
      </c>
      <c r="M93" s="17">
        <v>6.4</v>
      </c>
      <c r="N93" s="17">
        <v>6.2</v>
      </c>
      <c r="O93" s="17">
        <v>6</v>
      </c>
      <c r="P93" s="17">
        <v>5.8</v>
      </c>
      <c r="Q93" s="17">
        <v>5.6</v>
      </c>
      <c r="R93" s="17">
        <v>5.4</v>
      </c>
      <c r="S93" s="17">
        <v>5.2</v>
      </c>
      <c r="T93" s="17">
        <v>5</v>
      </c>
      <c r="U93" s="16">
        <v>4.8</v>
      </c>
      <c r="V93" s="16">
        <v>4.5999999999999996</v>
      </c>
      <c r="W93" s="16">
        <v>1500</v>
      </c>
      <c r="X93" s="16">
        <v>1400</v>
      </c>
      <c r="Y93" s="16">
        <v>1350</v>
      </c>
      <c r="Z93" s="16">
        <v>1300</v>
      </c>
      <c r="AA93" s="16">
        <v>1250</v>
      </c>
      <c r="AB93" s="16">
        <v>1200</v>
      </c>
      <c r="AC93" s="16">
        <v>1150</v>
      </c>
      <c r="AD93" s="16">
        <v>1100</v>
      </c>
      <c r="AE93" s="16">
        <v>1000</v>
      </c>
    </row>
    <row r="94" spans="1:31" ht="12.5">
      <c r="A94" s="14" t="s">
        <v>219</v>
      </c>
      <c r="B94" s="14">
        <v>6309587</v>
      </c>
      <c r="C94" s="15"/>
      <c r="D94" s="16"/>
      <c r="E94" s="16">
        <v>290</v>
      </c>
      <c r="F94" s="16">
        <v>300</v>
      </c>
      <c r="G94" s="16">
        <v>310</v>
      </c>
      <c r="H94" s="16">
        <v>320</v>
      </c>
      <c r="I94" s="16">
        <v>330</v>
      </c>
      <c r="J94" s="16">
        <v>8.1999999999999993</v>
      </c>
      <c r="K94" s="17">
        <v>7.8</v>
      </c>
      <c r="L94" s="17">
        <v>7.6</v>
      </c>
      <c r="M94" s="17">
        <v>7.4</v>
      </c>
      <c r="N94" s="17">
        <v>7.2</v>
      </c>
      <c r="O94" s="17">
        <v>7</v>
      </c>
      <c r="P94" s="17">
        <v>6.8</v>
      </c>
      <c r="Q94" s="17">
        <v>6.4</v>
      </c>
      <c r="R94" s="17">
        <v>6.2</v>
      </c>
      <c r="S94" s="17">
        <v>6.1</v>
      </c>
      <c r="T94" s="17">
        <v>6</v>
      </c>
      <c r="U94" s="16">
        <v>5.6</v>
      </c>
      <c r="V94" s="16">
        <v>5.4</v>
      </c>
      <c r="W94" s="16">
        <v>2000</v>
      </c>
      <c r="X94" s="16">
        <v>1900</v>
      </c>
      <c r="Y94" s="16">
        <v>1800</v>
      </c>
      <c r="Z94" s="16">
        <v>1700</v>
      </c>
      <c r="AA94" s="16">
        <v>1600</v>
      </c>
      <c r="AB94" s="16">
        <v>1500</v>
      </c>
      <c r="AC94" s="16">
        <v>1400</v>
      </c>
      <c r="AD94" s="16">
        <v>1350</v>
      </c>
      <c r="AE94" s="16">
        <v>1300</v>
      </c>
    </row>
    <row r="95" spans="1:31" ht="12.5">
      <c r="A95" s="14" t="s">
        <v>220</v>
      </c>
      <c r="B95" s="14">
        <v>6304533</v>
      </c>
      <c r="C95" s="18" t="s">
        <v>140</v>
      </c>
      <c r="D95" s="16"/>
      <c r="E95" s="16">
        <v>300</v>
      </c>
      <c r="F95" s="16">
        <v>330</v>
      </c>
      <c r="G95" s="16">
        <v>340</v>
      </c>
      <c r="H95" s="16">
        <v>350</v>
      </c>
      <c r="I95" s="16">
        <v>360</v>
      </c>
      <c r="J95" s="16">
        <v>9</v>
      </c>
      <c r="K95" s="17">
        <v>8</v>
      </c>
      <c r="L95" s="17">
        <v>7.8</v>
      </c>
      <c r="M95" s="17">
        <v>7.6</v>
      </c>
      <c r="N95" s="17">
        <v>7.2</v>
      </c>
      <c r="O95" s="17">
        <v>7</v>
      </c>
      <c r="P95" s="17">
        <v>6.8</v>
      </c>
      <c r="Q95" s="17">
        <v>6.6</v>
      </c>
      <c r="R95" s="17">
        <v>6.4</v>
      </c>
      <c r="S95" s="17">
        <v>6.2</v>
      </c>
      <c r="T95" s="17">
        <v>6</v>
      </c>
      <c r="U95" s="16">
        <v>5.6</v>
      </c>
      <c r="V95" s="16">
        <v>5.4</v>
      </c>
      <c r="W95" s="16">
        <v>1700</v>
      </c>
      <c r="X95" s="16">
        <v>1600</v>
      </c>
      <c r="Y95" s="16">
        <v>1500</v>
      </c>
      <c r="Z95" s="16">
        <v>1450</v>
      </c>
      <c r="AA95" s="16">
        <v>1400</v>
      </c>
      <c r="AB95" s="16">
        <v>1350</v>
      </c>
      <c r="AC95" s="16">
        <v>1300</v>
      </c>
      <c r="AD95" s="16">
        <v>1300</v>
      </c>
      <c r="AE95" s="16">
        <v>1300</v>
      </c>
    </row>
    <row r="96" spans="1:31" ht="12.5">
      <c r="A96" s="14" t="s">
        <v>221</v>
      </c>
      <c r="B96" s="14">
        <v>6307364</v>
      </c>
      <c r="C96" s="15"/>
      <c r="D96" s="16"/>
      <c r="E96" s="16">
        <v>300</v>
      </c>
      <c r="F96" s="16">
        <v>400</v>
      </c>
      <c r="G96" s="16">
        <v>460</v>
      </c>
      <c r="H96" s="16">
        <v>470</v>
      </c>
      <c r="I96" s="16">
        <v>480</v>
      </c>
      <c r="J96" s="16">
        <v>12</v>
      </c>
      <c r="K96" s="17">
        <v>12</v>
      </c>
      <c r="L96" s="17">
        <v>11</v>
      </c>
      <c r="M96" s="17">
        <v>10.5</v>
      </c>
      <c r="N96" s="17">
        <v>10.4</v>
      </c>
      <c r="O96" s="17">
        <v>10.3</v>
      </c>
      <c r="P96" s="17">
        <v>10.199999999999999</v>
      </c>
      <c r="Q96" s="17">
        <v>10</v>
      </c>
      <c r="R96" s="17">
        <v>9.8000000000000007</v>
      </c>
      <c r="S96" s="17">
        <v>9.6</v>
      </c>
      <c r="T96" s="17">
        <v>9.4</v>
      </c>
      <c r="U96" s="16">
        <v>9.1999999999999993</v>
      </c>
      <c r="V96" s="16">
        <v>9</v>
      </c>
      <c r="W96" s="16">
        <v>2600</v>
      </c>
      <c r="X96" s="16">
        <v>2500</v>
      </c>
      <c r="Y96" s="16">
        <v>2450</v>
      </c>
      <c r="Z96" s="16">
        <v>2400</v>
      </c>
      <c r="AA96" s="16">
        <v>2350</v>
      </c>
      <c r="AB96" s="16">
        <v>2300</v>
      </c>
      <c r="AC96" s="16">
        <v>2280</v>
      </c>
      <c r="AD96" s="16">
        <v>2250</v>
      </c>
      <c r="AE96" s="16">
        <v>2200</v>
      </c>
    </row>
    <row r="97" spans="1:35" ht="12.5">
      <c r="A97" s="14" t="s">
        <v>222</v>
      </c>
      <c r="B97" s="14">
        <v>6309598</v>
      </c>
      <c r="C97" s="15"/>
      <c r="D97" s="16"/>
      <c r="E97" s="16">
        <v>290</v>
      </c>
      <c r="F97" s="16">
        <v>300</v>
      </c>
      <c r="G97" s="16">
        <v>310</v>
      </c>
      <c r="H97" s="16">
        <v>320</v>
      </c>
      <c r="I97" s="16">
        <v>330</v>
      </c>
      <c r="J97" s="16">
        <v>8.1999999999999993</v>
      </c>
      <c r="K97" s="17">
        <v>7.8</v>
      </c>
      <c r="L97" s="17">
        <v>7.6</v>
      </c>
      <c r="M97" s="17">
        <v>7.4</v>
      </c>
      <c r="N97" s="17">
        <v>7.2</v>
      </c>
      <c r="O97" s="17">
        <v>7</v>
      </c>
      <c r="P97" s="17">
        <v>6.8</v>
      </c>
      <c r="Q97" s="17">
        <v>6.4</v>
      </c>
      <c r="R97" s="17">
        <v>6.2</v>
      </c>
      <c r="S97" s="17">
        <v>6.1</v>
      </c>
      <c r="T97" s="17">
        <v>6</v>
      </c>
      <c r="U97" s="16">
        <v>5.6</v>
      </c>
      <c r="V97" s="16">
        <v>5.4</v>
      </c>
      <c r="W97" s="16">
        <v>2000</v>
      </c>
      <c r="X97" s="16">
        <v>1900</v>
      </c>
      <c r="Y97" s="16">
        <v>1800</v>
      </c>
      <c r="Z97" s="16">
        <v>1700</v>
      </c>
      <c r="AA97" s="16">
        <v>1600</v>
      </c>
      <c r="AB97" s="16">
        <v>1500</v>
      </c>
      <c r="AC97" s="16">
        <v>1400</v>
      </c>
      <c r="AD97" s="16">
        <v>1350</v>
      </c>
      <c r="AE97" s="16">
        <v>1300</v>
      </c>
    </row>
    <row r="98" spans="1:35" ht="12.5">
      <c r="A98" s="14" t="s">
        <v>223</v>
      </c>
      <c r="B98" s="14">
        <v>6379271</v>
      </c>
      <c r="C98" s="15"/>
      <c r="D98" s="16">
        <v>1690</v>
      </c>
      <c r="E98" s="16"/>
      <c r="F98" s="16"/>
      <c r="G98" s="16"/>
      <c r="H98" s="16"/>
      <c r="I98" s="16"/>
      <c r="J98" s="16"/>
      <c r="K98" s="17"/>
      <c r="L98" s="17">
        <v>2.8</v>
      </c>
      <c r="M98" s="17">
        <v>2.1</v>
      </c>
      <c r="N98" s="17">
        <v>1.9</v>
      </c>
      <c r="O98" s="17">
        <v>1.7</v>
      </c>
      <c r="P98" s="17">
        <v>1.3</v>
      </c>
      <c r="Q98" s="17">
        <v>1</v>
      </c>
      <c r="R98" s="17">
        <v>0.9</v>
      </c>
      <c r="S98" s="17">
        <v>0.8</v>
      </c>
      <c r="T98" s="17">
        <v>0.7</v>
      </c>
      <c r="U98" s="16">
        <v>0.5</v>
      </c>
      <c r="V98" s="16">
        <v>0.5</v>
      </c>
      <c r="W98" s="16"/>
      <c r="X98" s="16">
        <v>540</v>
      </c>
      <c r="Y98" s="16">
        <v>490</v>
      </c>
      <c r="Z98" s="16">
        <v>310</v>
      </c>
      <c r="AA98" s="16">
        <v>280</v>
      </c>
      <c r="AB98" s="16">
        <v>240</v>
      </c>
      <c r="AC98" s="16">
        <v>200</v>
      </c>
      <c r="AD98" s="16">
        <v>130</v>
      </c>
      <c r="AE98" s="16">
        <v>120</v>
      </c>
    </row>
    <row r="99" spans="1:35" ht="12.5">
      <c r="A99" s="14" t="s">
        <v>224</v>
      </c>
      <c r="B99" s="14">
        <v>6489603</v>
      </c>
      <c r="C99" s="15"/>
      <c r="D99" s="16"/>
      <c r="E99" s="16">
        <v>300</v>
      </c>
      <c r="F99" s="16">
        <v>400</v>
      </c>
      <c r="G99" s="16">
        <v>600</v>
      </c>
      <c r="H99" s="16">
        <v>800</v>
      </c>
      <c r="I99" s="16">
        <v>860</v>
      </c>
      <c r="J99" s="16">
        <v>21.5</v>
      </c>
      <c r="K99" s="17">
        <v>21.5</v>
      </c>
      <c r="L99" s="17">
        <v>20.9</v>
      </c>
      <c r="M99" s="17">
        <v>20.5</v>
      </c>
      <c r="N99" s="17">
        <v>20.100000000000001</v>
      </c>
      <c r="O99" s="17">
        <v>19.7</v>
      </c>
      <c r="P99" s="17">
        <v>19.5</v>
      </c>
      <c r="Q99" s="17">
        <v>19.2</v>
      </c>
      <c r="R99" s="17">
        <v>19</v>
      </c>
      <c r="S99" s="17">
        <v>18.8</v>
      </c>
      <c r="T99" s="17">
        <v>18.600000000000001</v>
      </c>
      <c r="U99" s="16">
        <v>18.399999999999999</v>
      </c>
      <c r="V99" s="16">
        <v>18.2</v>
      </c>
      <c r="W99" s="16">
        <v>4610</v>
      </c>
      <c r="X99" s="16">
        <v>4470</v>
      </c>
      <c r="Y99" s="16">
        <v>4380</v>
      </c>
      <c r="Z99" s="16">
        <v>4290</v>
      </c>
      <c r="AA99" s="16">
        <v>4160</v>
      </c>
      <c r="AB99" s="16">
        <v>4070</v>
      </c>
      <c r="AC99" s="16">
        <v>4020</v>
      </c>
      <c r="AD99" s="16">
        <v>3980</v>
      </c>
      <c r="AE99" s="16">
        <v>3930</v>
      </c>
    </row>
    <row r="100" spans="1:35" ht="12.5">
      <c r="A100" s="14" t="s">
        <v>225</v>
      </c>
      <c r="B100" s="14">
        <v>6489604</v>
      </c>
      <c r="C100" s="15"/>
      <c r="D100" s="16"/>
      <c r="E100" s="16">
        <v>300</v>
      </c>
      <c r="F100" s="16">
        <v>400</v>
      </c>
      <c r="G100" s="16">
        <v>600</v>
      </c>
      <c r="H100" s="16">
        <v>800</v>
      </c>
      <c r="I100" s="16">
        <v>820</v>
      </c>
      <c r="J100" s="16">
        <v>20.5</v>
      </c>
      <c r="K100" s="17">
        <v>20.5</v>
      </c>
      <c r="L100" s="17">
        <v>19.899999999999999</v>
      </c>
      <c r="M100" s="17">
        <v>19.5</v>
      </c>
      <c r="N100" s="17">
        <v>19.100000000000001</v>
      </c>
      <c r="O100" s="17">
        <v>18.7</v>
      </c>
      <c r="P100" s="17">
        <v>18.5</v>
      </c>
      <c r="Q100" s="17">
        <v>18.2</v>
      </c>
      <c r="R100" s="17">
        <v>18</v>
      </c>
      <c r="S100" s="17">
        <v>17.8</v>
      </c>
      <c r="T100" s="17">
        <v>17.600000000000001</v>
      </c>
      <c r="U100" s="16">
        <v>17.399999999999999</v>
      </c>
      <c r="V100" s="16">
        <v>17.2</v>
      </c>
      <c r="W100" s="16">
        <v>4510</v>
      </c>
      <c r="X100" s="16">
        <v>4370</v>
      </c>
      <c r="Y100" s="16">
        <v>4280</v>
      </c>
      <c r="Z100" s="16">
        <v>4190</v>
      </c>
      <c r="AA100" s="16">
        <v>4060</v>
      </c>
      <c r="AB100" s="16">
        <v>3970</v>
      </c>
      <c r="AC100" s="16">
        <v>3920</v>
      </c>
      <c r="AD100" s="16">
        <v>3880</v>
      </c>
      <c r="AE100" s="16">
        <v>3830</v>
      </c>
    </row>
    <row r="101" spans="1:35" ht="12.5">
      <c r="A101" s="14" t="s">
        <v>226</v>
      </c>
      <c r="B101" s="14">
        <v>6308056</v>
      </c>
      <c r="C101" s="15"/>
      <c r="D101" s="16"/>
      <c r="E101" s="16">
        <v>300</v>
      </c>
      <c r="F101" s="16">
        <v>400</v>
      </c>
      <c r="G101" s="16">
        <v>600</v>
      </c>
      <c r="H101" s="16">
        <v>670</v>
      </c>
      <c r="I101" s="16">
        <v>680</v>
      </c>
      <c r="J101" s="16">
        <v>17</v>
      </c>
      <c r="K101" s="17">
        <v>17</v>
      </c>
      <c r="L101" s="17">
        <v>16.8</v>
      </c>
      <c r="M101" s="17">
        <v>16.5</v>
      </c>
      <c r="N101" s="17">
        <v>16</v>
      </c>
      <c r="O101" s="17">
        <v>15.8</v>
      </c>
      <c r="P101" s="17">
        <v>15.6</v>
      </c>
      <c r="Q101" s="17">
        <v>15.4</v>
      </c>
      <c r="R101" s="17">
        <v>15.2</v>
      </c>
      <c r="S101" s="17">
        <v>15</v>
      </c>
      <c r="T101" s="17">
        <v>14.8</v>
      </c>
      <c r="U101" s="16">
        <v>14.6</v>
      </c>
      <c r="V101" s="16">
        <v>14.2</v>
      </c>
      <c r="W101" s="16">
        <v>3800</v>
      </c>
      <c r="X101" s="16">
        <v>3700</v>
      </c>
      <c r="Y101" s="16">
        <v>3600</v>
      </c>
      <c r="Z101" s="16">
        <v>3500</v>
      </c>
      <c r="AA101" s="16">
        <v>3450</v>
      </c>
      <c r="AB101" s="16">
        <v>3400</v>
      </c>
      <c r="AC101" s="16">
        <v>3350</v>
      </c>
      <c r="AD101" s="16">
        <v>3350</v>
      </c>
      <c r="AE101" s="16">
        <v>3350</v>
      </c>
    </row>
    <row r="102" spans="1:35" ht="12.5">
      <c r="A102" s="14" t="s">
        <v>227</v>
      </c>
      <c r="B102" s="14">
        <v>6307448</v>
      </c>
      <c r="C102" s="18" t="s">
        <v>140</v>
      </c>
      <c r="D102" s="16"/>
      <c r="E102" s="16">
        <v>290</v>
      </c>
      <c r="F102" s="16">
        <v>300</v>
      </c>
      <c r="G102" s="16">
        <v>310</v>
      </c>
      <c r="H102" s="16">
        <v>320</v>
      </c>
      <c r="I102" s="16">
        <v>330</v>
      </c>
      <c r="J102" s="16">
        <v>8.1999999999999993</v>
      </c>
      <c r="K102" s="17">
        <v>8</v>
      </c>
      <c r="L102" s="17">
        <v>7.8</v>
      </c>
      <c r="M102" s="17">
        <v>7.6</v>
      </c>
      <c r="N102" s="17">
        <v>7.4</v>
      </c>
      <c r="O102" s="17">
        <v>7.2</v>
      </c>
      <c r="P102" s="17">
        <v>7</v>
      </c>
      <c r="Q102" s="17">
        <v>6.8</v>
      </c>
      <c r="R102" s="17">
        <v>6.6</v>
      </c>
      <c r="S102" s="17">
        <v>6.4</v>
      </c>
      <c r="T102" s="17">
        <v>6.2</v>
      </c>
      <c r="U102" s="16">
        <v>6.1</v>
      </c>
      <c r="V102" s="16">
        <v>6</v>
      </c>
      <c r="W102" s="16">
        <v>2000</v>
      </c>
      <c r="X102" s="16">
        <v>1900</v>
      </c>
      <c r="Y102" s="16">
        <v>1800</v>
      </c>
      <c r="Z102" s="16">
        <v>1700</v>
      </c>
      <c r="AA102" s="16">
        <v>1600</v>
      </c>
      <c r="AB102" s="16">
        <v>1500</v>
      </c>
      <c r="AC102" s="16">
        <v>1400</v>
      </c>
      <c r="AD102" s="16">
        <v>1300</v>
      </c>
      <c r="AE102" s="16">
        <v>1200</v>
      </c>
    </row>
    <row r="103" spans="1:35" ht="12.5">
      <c r="A103" s="14" t="s">
        <v>228</v>
      </c>
      <c r="B103" s="14">
        <v>6308560</v>
      </c>
      <c r="C103" s="15"/>
      <c r="D103" s="16">
        <v>5070</v>
      </c>
      <c r="E103" s="16"/>
      <c r="F103" s="16"/>
      <c r="G103" s="16"/>
      <c r="H103" s="16"/>
      <c r="I103" s="16"/>
      <c r="J103" s="16"/>
      <c r="K103" s="17"/>
      <c r="L103" s="17">
        <v>8.5</v>
      </c>
      <c r="M103" s="17">
        <v>6.3</v>
      </c>
      <c r="N103" s="17">
        <v>5.6</v>
      </c>
      <c r="O103" s="17">
        <v>5.0999999999999996</v>
      </c>
      <c r="P103" s="17">
        <v>3.9</v>
      </c>
      <c r="Q103" s="17">
        <v>2.9</v>
      </c>
      <c r="R103" s="17">
        <v>2.7</v>
      </c>
      <c r="S103" s="17">
        <v>2.2999999999999998</v>
      </c>
      <c r="T103" s="17">
        <v>2</v>
      </c>
      <c r="U103" s="16">
        <v>1.4</v>
      </c>
      <c r="V103" s="16">
        <v>1.4</v>
      </c>
      <c r="W103" s="16"/>
      <c r="X103" s="16">
        <v>1610</v>
      </c>
      <c r="Y103" s="16">
        <v>1460</v>
      </c>
      <c r="Z103" s="16">
        <v>920</v>
      </c>
      <c r="AA103" s="16">
        <v>840</v>
      </c>
      <c r="AB103" s="16">
        <v>720</v>
      </c>
      <c r="AC103" s="16">
        <v>590</v>
      </c>
      <c r="AD103" s="16">
        <v>390</v>
      </c>
      <c r="AE103" s="16">
        <v>360</v>
      </c>
    </row>
    <row r="104" spans="1:35" ht="12.5">
      <c r="A104" s="14" t="s">
        <v>229</v>
      </c>
      <c r="B104" s="14">
        <v>6308012</v>
      </c>
      <c r="C104" s="18" t="s">
        <v>140</v>
      </c>
      <c r="D104" s="16"/>
      <c r="E104" s="16">
        <v>300</v>
      </c>
      <c r="F104" s="16">
        <v>400</v>
      </c>
      <c r="G104" s="16">
        <v>460</v>
      </c>
      <c r="H104" s="16">
        <v>470</v>
      </c>
      <c r="I104" s="16">
        <v>480</v>
      </c>
      <c r="J104" s="16">
        <v>12</v>
      </c>
      <c r="K104" s="17">
        <v>11.5</v>
      </c>
      <c r="L104" s="17">
        <v>11</v>
      </c>
      <c r="M104" s="17">
        <v>10.5</v>
      </c>
      <c r="N104" s="17">
        <v>10</v>
      </c>
      <c r="O104" s="17">
        <v>9.5</v>
      </c>
      <c r="P104" s="17">
        <v>9</v>
      </c>
      <c r="Q104" s="17">
        <v>8.5</v>
      </c>
      <c r="R104" s="17">
        <v>8.4</v>
      </c>
      <c r="S104" s="17">
        <v>8.3000000000000007</v>
      </c>
      <c r="T104" s="17">
        <v>8.1999999999999993</v>
      </c>
      <c r="U104" s="16">
        <v>8.1</v>
      </c>
      <c r="V104" s="16">
        <v>8</v>
      </c>
      <c r="W104" s="16">
        <v>2500</v>
      </c>
      <c r="X104" s="16">
        <v>2400</v>
      </c>
      <c r="Y104" s="16">
        <v>2300</v>
      </c>
      <c r="Z104" s="16">
        <v>2200</v>
      </c>
      <c r="AA104" s="16">
        <v>2150</v>
      </c>
      <c r="AB104" s="16">
        <v>2100</v>
      </c>
      <c r="AC104" s="16">
        <v>2050</v>
      </c>
      <c r="AD104" s="16">
        <v>2000</v>
      </c>
      <c r="AE104" s="16">
        <v>1900</v>
      </c>
    </row>
    <row r="105" spans="1:35" ht="12.5">
      <c r="A105" s="14" t="s">
        <v>230</v>
      </c>
      <c r="B105" s="14">
        <v>6307094</v>
      </c>
      <c r="C105" s="15"/>
      <c r="D105" s="16"/>
      <c r="E105" s="16">
        <v>300</v>
      </c>
      <c r="F105" s="16">
        <v>330</v>
      </c>
      <c r="G105" s="16">
        <v>340</v>
      </c>
      <c r="H105" s="16">
        <v>350</v>
      </c>
      <c r="I105" s="16">
        <v>360</v>
      </c>
      <c r="J105" s="16">
        <v>9</v>
      </c>
      <c r="K105" s="17">
        <v>9</v>
      </c>
      <c r="L105" s="17">
        <v>8.8000000000000007</v>
      </c>
      <c r="M105" s="17">
        <v>8.4</v>
      </c>
      <c r="N105" s="17">
        <v>7.6</v>
      </c>
      <c r="O105" s="17">
        <v>6.8</v>
      </c>
      <c r="P105" s="17">
        <v>6.6</v>
      </c>
      <c r="Q105" s="17">
        <v>6.4</v>
      </c>
      <c r="R105" s="17">
        <v>6.2</v>
      </c>
      <c r="S105" s="17">
        <v>6</v>
      </c>
      <c r="T105" s="17">
        <v>5.8</v>
      </c>
      <c r="U105" s="16">
        <v>5.6</v>
      </c>
      <c r="V105" s="16">
        <v>5.4</v>
      </c>
      <c r="W105" s="16">
        <v>1800</v>
      </c>
      <c r="X105" s="16">
        <v>1700</v>
      </c>
      <c r="Y105" s="16">
        <v>1650</v>
      </c>
      <c r="Z105" s="16">
        <v>1600</v>
      </c>
      <c r="AA105" s="16">
        <v>1500</v>
      </c>
      <c r="AB105" s="16">
        <v>1400</v>
      </c>
      <c r="AC105" s="16">
        <v>1300</v>
      </c>
      <c r="AD105" s="16">
        <v>1280</v>
      </c>
      <c r="AE105" s="16">
        <v>1250</v>
      </c>
    </row>
    <row r="106" spans="1:35" ht="12.5">
      <c r="A106" s="14" t="s">
        <v>231</v>
      </c>
      <c r="B106" s="14">
        <v>6309887</v>
      </c>
      <c r="C106" s="15"/>
      <c r="D106" s="16"/>
      <c r="E106" s="16">
        <v>300</v>
      </c>
      <c r="F106" s="16">
        <v>400</v>
      </c>
      <c r="G106" s="16">
        <v>420</v>
      </c>
      <c r="H106" s="16">
        <v>430</v>
      </c>
      <c r="I106" s="16">
        <v>440</v>
      </c>
      <c r="J106" s="16">
        <v>11</v>
      </c>
      <c r="K106" s="17">
        <v>11</v>
      </c>
      <c r="L106" s="17">
        <v>10.8</v>
      </c>
      <c r="M106" s="17">
        <v>10.4</v>
      </c>
      <c r="N106" s="17">
        <v>10</v>
      </c>
      <c r="O106" s="17">
        <v>9.8000000000000007</v>
      </c>
      <c r="P106" s="17">
        <v>9.6</v>
      </c>
      <c r="Q106" s="17">
        <v>9.4</v>
      </c>
      <c r="R106" s="17">
        <v>9.3000000000000007</v>
      </c>
      <c r="S106" s="17">
        <v>9.1999999999999993</v>
      </c>
      <c r="T106" s="17">
        <v>9.1</v>
      </c>
      <c r="U106" s="16">
        <v>9</v>
      </c>
      <c r="V106" s="16">
        <v>8.6</v>
      </c>
      <c r="W106" s="16">
        <v>2400</v>
      </c>
      <c r="X106" s="16">
        <v>2350</v>
      </c>
      <c r="Y106" s="16">
        <v>2300</v>
      </c>
      <c r="Z106" s="16">
        <v>2200</v>
      </c>
      <c r="AA106" s="16">
        <v>2100</v>
      </c>
      <c r="AB106" s="16">
        <v>2000</v>
      </c>
      <c r="AC106" s="16">
        <v>1950</v>
      </c>
      <c r="AD106" s="16">
        <v>1900</v>
      </c>
      <c r="AE106" s="16">
        <v>1850</v>
      </c>
    </row>
    <row r="107" spans="1:35" ht="12.5">
      <c r="A107" s="14" t="s">
        <v>232</v>
      </c>
      <c r="B107" s="14">
        <v>6379754</v>
      </c>
      <c r="C107" s="15"/>
      <c r="D107" s="16">
        <v>800</v>
      </c>
      <c r="E107" s="16"/>
      <c r="F107" s="16"/>
      <c r="G107" s="16"/>
      <c r="H107" s="16"/>
      <c r="I107" s="16"/>
      <c r="J107" s="16"/>
      <c r="K107" s="17"/>
      <c r="L107" s="17">
        <v>1.8</v>
      </c>
      <c r="M107" s="17">
        <v>1.4</v>
      </c>
      <c r="N107" s="17">
        <v>1.2</v>
      </c>
      <c r="O107" s="17">
        <v>1.1000000000000001</v>
      </c>
      <c r="P107" s="17">
        <v>0.8</v>
      </c>
      <c r="Q107" s="17">
        <v>0.6</v>
      </c>
      <c r="R107" s="17">
        <v>0.6</v>
      </c>
      <c r="S107" s="17">
        <v>0.5</v>
      </c>
      <c r="T107" s="17">
        <v>0.4</v>
      </c>
      <c r="U107" s="16">
        <v>0.3</v>
      </c>
      <c r="V107" s="16">
        <v>0.3</v>
      </c>
      <c r="W107" s="16"/>
      <c r="X107" s="16">
        <v>350</v>
      </c>
      <c r="Y107" s="16">
        <v>320</v>
      </c>
      <c r="Z107" s="16">
        <v>200</v>
      </c>
      <c r="AA107" s="16">
        <v>180</v>
      </c>
      <c r="AB107" s="16">
        <v>160</v>
      </c>
      <c r="AC107" s="16">
        <v>130</v>
      </c>
      <c r="AD107" s="16">
        <v>80</v>
      </c>
      <c r="AE107" s="16">
        <v>80</v>
      </c>
    </row>
    <row r="108" spans="1:35" ht="12.5">
      <c r="A108" s="14" t="s">
        <v>233</v>
      </c>
      <c r="B108" s="14">
        <v>6308557</v>
      </c>
      <c r="C108" s="15"/>
      <c r="D108" s="16">
        <v>4550</v>
      </c>
      <c r="E108" s="16"/>
      <c r="F108" s="16"/>
      <c r="G108" s="16"/>
      <c r="H108" s="16"/>
      <c r="I108" s="16"/>
      <c r="J108" s="16"/>
      <c r="K108" s="17"/>
      <c r="L108" s="17">
        <v>7.6</v>
      </c>
      <c r="M108" s="17">
        <v>5.7</v>
      </c>
      <c r="N108" s="17">
        <v>5</v>
      </c>
      <c r="O108" s="17">
        <v>4.5999999999999996</v>
      </c>
      <c r="P108" s="17">
        <v>3.5</v>
      </c>
      <c r="Q108" s="17">
        <v>2.6</v>
      </c>
      <c r="R108" s="17">
        <v>2.4</v>
      </c>
      <c r="S108" s="17">
        <v>2.1</v>
      </c>
      <c r="T108" s="17">
        <v>1.8</v>
      </c>
      <c r="U108" s="16">
        <v>1.3</v>
      </c>
      <c r="V108" s="16">
        <v>1.3</v>
      </c>
      <c r="W108" s="16"/>
      <c r="X108" s="16">
        <v>1440</v>
      </c>
      <c r="Y108" s="16">
        <v>1310</v>
      </c>
      <c r="Z108" s="16">
        <v>830</v>
      </c>
      <c r="AA108" s="16">
        <v>750</v>
      </c>
      <c r="AB108" s="16">
        <v>640</v>
      </c>
      <c r="AC108" s="16">
        <v>530</v>
      </c>
      <c r="AD108" s="16">
        <v>350</v>
      </c>
      <c r="AE108" s="16">
        <v>320</v>
      </c>
    </row>
    <row r="109" spans="1:35" ht="12.5">
      <c r="A109" s="14" t="s">
        <v>234</v>
      </c>
      <c r="B109" s="14">
        <v>6308561</v>
      </c>
      <c r="C109" s="15"/>
      <c r="D109" s="16">
        <v>3120</v>
      </c>
      <c r="E109" s="16"/>
      <c r="F109" s="16"/>
      <c r="G109" s="16"/>
      <c r="H109" s="16"/>
      <c r="I109" s="16"/>
      <c r="J109" s="16"/>
      <c r="K109" s="17"/>
      <c r="L109" s="17">
        <v>5.2</v>
      </c>
      <c r="M109" s="17">
        <v>3.9</v>
      </c>
      <c r="N109" s="17">
        <v>3.4</v>
      </c>
      <c r="O109" s="17">
        <v>3.1</v>
      </c>
      <c r="P109" s="17">
        <v>2.4</v>
      </c>
      <c r="Q109" s="17">
        <v>1.8</v>
      </c>
      <c r="R109" s="17">
        <v>1.6</v>
      </c>
      <c r="S109" s="17">
        <v>1.4</v>
      </c>
      <c r="T109" s="17">
        <v>1.2</v>
      </c>
      <c r="U109" s="16">
        <v>0.9</v>
      </c>
      <c r="V109" s="16">
        <v>0.9</v>
      </c>
      <c r="W109" s="16"/>
      <c r="X109" s="16">
        <v>990</v>
      </c>
      <c r="Y109" s="16">
        <v>900</v>
      </c>
      <c r="Z109" s="16">
        <v>570</v>
      </c>
      <c r="AA109" s="16">
        <v>510</v>
      </c>
      <c r="AB109" s="16">
        <v>440</v>
      </c>
      <c r="AC109" s="16">
        <v>360</v>
      </c>
      <c r="AD109" s="16">
        <v>240</v>
      </c>
      <c r="AE109" s="16">
        <v>220</v>
      </c>
    </row>
    <row r="110" spans="1:35" ht="12.5">
      <c r="A110" s="14" t="s">
        <v>235</v>
      </c>
      <c r="B110" s="14">
        <v>6309800</v>
      </c>
      <c r="C110" s="15"/>
      <c r="D110" s="16"/>
      <c r="E110" s="16">
        <v>300</v>
      </c>
      <c r="F110" s="16">
        <v>370</v>
      </c>
      <c r="G110" s="16">
        <v>380</v>
      </c>
      <c r="H110" s="16">
        <v>390</v>
      </c>
      <c r="I110" s="16">
        <v>400</v>
      </c>
      <c r="J110" s="16">
        <v>10</v>
      </c>
      <c r="K110" s="17">
        <v>9</v>
      </c>
      <c r="L110" s="17">
        <v>8.8000000000000007</v>
      </c>
      <c r="M110" s="17">
        <v>8.6</v>
      </c>
      <c r="N110" s="17">
        <v>8.4</v>
      </c>
      <c r="O110" s="17">
        <v>8.1999999999999993</v>
      </c>
      <c r="P110" s="17">
        <v>8</v>
      </c>
      <c r="Q110" s="17">
        <v>7.8</v>
      </c>
      <c r="R110" s="17">
        <v>7.6</v>
      </c>
      <c r="S110" s="17">
        <v>7.5</v>
      </c>
      <c r="T110" s="17">
        <v>7.4</v>
      </c>
      <c r="U110" s="16">
        <v>7.2</v>
      </c>
      <c r="V110" s="16">
        <v>7</v>
      </c>
      <c r="W110" s="16">
        <v>2000</v>
      </c>
      <c r="X110" s="16">
        <v>1900</v>
      </c>
      <c r="Y110" s="16">
        <v>1850</v>
      </c>
      <c r="Z110" s="16">
        <v>1800</v>
      </c>
      <c r="AA110" s="16">
        <v>1750</v>
      </c>
      <c r="AB110" s="16">
        <v>1700</v>
      </c>
      <c r="AC110" s="16">
        <v>1680</v>
      </c>
      <c r="AD110" s="16">
        <v>1650</v>
      </c>
      <c r="AE110" s="16">
        <v>1600</v>
      </c>
    </row>
    <row r="111" spans="1:35" ht="12.5">
      <c r="A111" s="14" t="s">
        <v>236</v>
      </c>
      <c r="B111" s="14">
        <v>6309593</v>
      </c>
      <c r="C111" s="15"/>
      <c r="D111" s="16"/>
      <c r="E111" s="16">
        <v>290</v>
      </c>
      <c r="F111" s="16">
        <v>300</v>
      </c>
      <c r="G111" s="16">
        <v>310</v>
      </c>
      <c r="H111" s="16">
        <v>320</v>
      </c>
      <c r="I111" s="16">
        <v>330</v>
      </c>
      <c r="J111" s="16">
        <v>8.1999999999999993</v>
      </c>
      <c r="K111" s="17">
        <v>7.8</v>
      </c>
      <c r="L111" s="17">
        <v>7.6</v>
      </c>
      <c r="M111" s="17">
        <v>7.4</v>
      </c>
      <c r="N111" s="17">
        <v>7.2</v>
      </c>
      <c r="O111" s="17">
        <v>7</v>
      </c>
      <c r="P111" s="17">
        <v>6.8</v>
      </c>
      <c r="Q111" s="17">
        <v>6.4</v>
      </c>
      <c r="R111" s="17">
        <v>6.2</v>
      </c>
      <c r="S111" s="17">
        <v>6.1</v>
      </c>
      <c r="T111" s="17">
        <v>6</v>
      </c>
      <c r="U111" s="16">
        <v>5.6</v>
      </c>
      <c r="V111" s="16">
        <v>5.4</v>
      </c>
      <c r="W111" s="16">
        <v>2000</v>
      </c>
      <c r="X111" s="16">
        <v>1900</v>
      </c>
      <c r="Y111" s="16">
        <v>1800</v>
      </c>
      <c r="Z111" s="16">
        <v>1700</v>
      </c>
      <c r="AA111" s="16">
        <v>1600</v>
      </c>
      <c r="AB111" s="16">
        <v>1500</v>
      </c>
      <c r="AC111" s="16">
        <v>1400</v>
      </c>
      <c r="AD111" s="16">
        <v>1350</v>
      </c>
      <c r="AE111" s="16">
        <v>1300</v>
      </c>
      <c r="AG111" s="19"/>
      <c r="AH111" s="20"/>
      <c r="AI111" s="21"/>
    </row>
    <row r="112" spans="1:35" ht="12.5">
      <c r="A112" s="14" t="s">
        <v>237</v>
      </c>
      <c r="B112" s="14">
        <v>6309774</v>
      </c>
      <c r="C112" s="18" t="s">
        <v>140</v>
      </c>
      <c r="D112" s="16"/>
      <c r="E112" s="16">
        <v>290</v>
      </c>
      <c r="F112" s="16">
        <v>300</v>
      </c>
      <c r="G112" s="16">
        <v>310</v>
      </c>
      <c r="H112" s="16">
        <v>320</v>
      </c>
      <c r="I112" s="16">
        <v>330</v>
      </c>
      <c r="J112" s="16">
        <v>8.1999999999999993</v>
      </c>
      <c r="K112" s="17">
        <v>6.2</v>
      </c>
      <c r="L112" s="17">
        <v>6</v>
      </c>
      <c r="M112" s="17">
        <v>5.6</v>
      </c>
      <c r="N112" s="17">
        <v>5.2</v>
      </c>
      <c r="O112" s="17">
        <v>5.0999999999999996</v>
      </c>
      <c r="P112" s="17">
        <v>5</v>
      </c>
      <c r="Q112" s="17">
        <v>4.8</v>
      </c>
      <c r="R112" s="17">
        <v>4.5999999999999996</v>
      </c>
      <c r="S112" s="17">
        <v>4.4000000000000004</v>
      </c>
      <c r="T112" s="17">
        <v>4</v>
      </c>
      <c r="U112" s="16">
        <v>3.8</v>
      </c>
      <c r="V112" s="16">
        <v>3.5</v>
      </c>
      <c r="W112" s="16">
        <v>1400</v>
      </c>
      <c r="X112" s="16">
        <v>1350</v>
      </c>
      <c r="Y112" s="16">
        <v>1300</v>
      </c>
      <c r="Z112" s="16">
        <v>1250</v>
      </c>
      <c r="AA112" s="16">
        <v>1200</v>
      </c>
      <c r="AB112" s="16">
        <v>1100</v>
      </c>
      <c r="AC112" s="16">
        <v>1000</v>
      </c>
      <c r="AD112" s="16">
        <v>950</v>
      </c>
      <c r="AE112" s="16">
        <v>900</v>
      </c>
      <c r="AG112" s="19"/>
      <c r="AH112" s="20"/>
      <c r="AI112" s="21"/>
    </row>
    <row r="113" spans="1:35" ht="12.5">
      <c r="A113" s="14" t="s">
        <v>238</v>
      </c>
      <c r="B113" s="14">
        <v>6308052</v>
      </c>
      <c r="C113" s="15"/>
      <c r="D113" s="16"/>
      <c r="E113" s="16">
        <v>300</v>
      </c>
      <c r="F113" s="16">
        <v>400</v>
      </c>
      <c r="G113" s="16">
        <v>600</v>
      </c>
      <c r="H113" s="16">
        <v>730</v>
      </c>
      <c r="I113" s="16">
        <v>740</v>
      </c>
      <c r="J113" s="16">
        <v>18.5</v>
      </c>
      <c r="K113" s="17">
        <v>18.5</v>
      </c>
      <c r="L113" s="17">
        <v>18.3</v>
      </c>
      <c r="M113" s="17">
        <v>18</v>
      </c>
      <c r="N113" s="17">
        <v>17.5</v>
      </c>
      <c r="O113" s="17">
        <v>17.3</v>
      </c>
      <c r="P113" s="17">
        <v>17.100000000000001</v>
      </c>
      <c r="Q113" s="17">
        <v>16.899999999999999</v>
      </c>
      <c r="R113" s="17">
        <v>16.7</v>
      </c>
      <c r="S113" s="17">
        <v>16.5</v>
      </c>
      <c r="T113" s="17">
        <v>16.3</v>
      </c>
      <c r="U113" s="16">
        <v>16.100000000000001</v>
      </c>
      <c r="V113" s="16">
        <v>15.7</v>
      </c>
      <c r="W113" s="16">
        <v>4150</v>
      </c>
      <c r="X113" s="16">
        <v>4050</v>
      </c>
      <c r="Y113" s="16">
        <v>3950</v>
      </c>
      <c r="Z113" s="16">
        <v>3850</v>
      </c>
      <c r="AA113" s="16">
        <v>3800</v>
      </c>
      <c r="AB113" s="16">
        <v>3750</v>
      </c>
      <c r="AC113" s="16">
        <v>3700</v>
      </c>
      <c r="AD113" s="16">
        <v>3700</v>
      </c>
      <c r="AE113" s="16">
        <v>3700</v>
      </c>
      <c r="AG113" s="19"/>
      <c r="AH113" s="20"/>
      <c r="AI113" s="21"/>
    </row>
    <row r="114" spans="1:35" ht="12.5">
      <c r="A114" s="14" t="s">
        <v>239</v>
      </c>
      <c r="B114" s="14">
        <v>6309799</v>
      </c>
      <c r="C114" s="15"/>
      <c r="D114" s="16"/>
      <c r="E114" s="16">
        <v>290</v>
      </c>
      <c r="F114" s="16">
        <v>300</v>
      </c>
      <c r="G114" s="16">
        <v>310</v>
      </c>
      <c r="H114" s="16">
        <v>320</v>
      </c>
      <c r="I114" s="16">
        <v>330</v>
      </c>
      <c r="J114" s="16">
        <v>8.1999999999999993</v>
      </c>
      <c r="K114" s="17">
        <v>7.5</v>
      </c>
      <c r="L114" s="17">
        <v>7</v>
      </c>
      <c r="M114" s="17">
        <v>6.4</v>
      </c>
      <c r="N114" s="17">
        <v>6.2</v>
      </c>
      <c r="O114" s="17">
        <v>6.1</v>
      </c>
      <c r="P114" s="17">
        <v>6</v>
      </c>
      <c r="Q114" s="17">
        <v>5.8</v>
      </c>
      <c r="R114" s="17">
        <v>5.6</v>
      </c>
      <c r="S114" s="17">
        <v>5.5</v>
      </c>
      <c r="T114" s="17">
        <v>5.4</v>
      </c>
      <c r="U114" s="16">
        <v>5.3</v>
      </c>
      <c r="V114" s="16">
        <v>5.2</v>
      </c>
      <c r="W114" s="16">
        <v>1500</v>
      </c>
      <c r="X114" s="16">
        <v>1400</v>
      </c>
      <c r="Y114" s="16">
        <v>1350</v>
      </c>
      <c r="Z114" s="16">
        <v>1300</v>
      </c>
      <c r="AA114" s="16">
        <v>1260</v>
      </c>
      <c r="AB114" s="16">
        <v>1240</v>
      </c>
      <c r="AC114" s="16">
        <v>1200</v>
      </c>
      <c r="AD114" s="16">
        <v>1100</v>
      </c>
      <c r="AE114" s="16">
        <v>1000</v>
      </c>
      <c r="AG114" s="19"/>
      <c r="AH114" s="20"/>
      <c r="AI114" s="21"/>
    </row>
    <row r="115" spans="1:35" ht="12.5">
      <c r="A115" s="14" t="s">
        <v>240</v>
      </c>
      <c r="B115" s="14">
        <v>6307301</v>
      </c>
      <c r="C115" s="15"/>
      <c r="D115" s="16"/>
      <c r="E115" s="16">
        <v>300</v>
      </c>
      <c r="F115" s="16">
        <v>400</v>
      </c>
      <c r="G115" s="16">
        <v>460</v>
      </c>
      <c r="H115" s="16">
        <v>470</v>
      </c>
      <c r="I115" s="16">
        <v>480</v>
      </c>
      <c r="J115" s="16">
        <v>12</v>
      </c>
      <c r="K115" s="17">
        <v>12</v>
      </c>
      <c r="L115" s="17">
        <v>11.9</v>
      </c>
      <c r="M115" s="17">
        <v>11.8</v>
      </c>
      <c r="N115" s="17">
        <v>11.6</v>
      </c>
      <c r="O115" s="17">
        <v>11.4</v>
      </c>
      <c r="P115" s="17">
        <v>11.2</v>
      </c>
      <c r="Q115" s="17">
        <v>11</v>
      </c>
      <c r="R115" s="17">
        <v>10.8</v>
      </c>
      <c r="S115" s="17">
        <v>10.6</v>
      </c>
      <c r="T115" s="17">
        <v>10.4</v>
      </c>
      <c r="U115" s="16">
        <v>10.3</v>
      </c>
      <c r="V115" s="16">
        <v>10.199999999999999</v>
      </c>
      <c r="W115" s="16">
        <v>2800</v>
      </c>
      <c r="X115" s="16">
        <v>2700</v>
      </c>
      <c r="Y115" s="16">
        <v>2600</v>
      </c>
      <c r="Z115" s="16">
        <v>2500</v>
      </c>
      <c r="AA115" s="16">
        <v>2400</v>
      </c>
      <c r="AB115" s="16">
        <v>2300</v>
      </c>
      <c r="AC115" s="16">
        <v>2250</v>
      </c>
      <c r="AD115" s="16">
        <v>2200</v>
      </c>
      <c r="AE115" s="16">
        <v>2150</v>
      </c>
      <c r="AG115" s="19"/>
      <c r="AH115" s="20"/>
      <c r="AI115" s="21"/>
    </row>
    <row r="116" spans="1:35" ht="12.5">
      <c r="A116" s="14" t="s">
        <v>241</v>
      </c>
      <c r="B116" s="14">
        <v>6309806</v>
      </c>
      <c r="C116" s="18" t="s">
        <v>140</v>
      </c>
      <c r="D116" s="16"/>
      <c r="E116" s="16">
        <v>290</v>
      </c>
      <c r="F116" s="16">
        <v>300</v>
      </c>
      <c r="G116" s="16">
        <v>310</v>
      </c>
      <c r="H116" s="16">
        <v>320</v>
      </c>
      <c r="I116" s="16">
        <v>330</v>
      </c>
      <c r="J116" s="16">
        <v>8.1999999999999993</v>
      </c>
      <c r="K116" s="17">
        <v>7.8</v>
      </c>
      <c r="L116" s="17">
        <v>7.6</v>
      </c>
      <c r="M116" s="17">
        <v>7.4</v>
      </c>
      <c r="N116" s="17">
        <v>7.2</v>
      </c>
      <c r="O116" s="17">
        <v>7</v>
      </c>
      <c r="P116" s="17">
        <v>6.8</v>
      </c>
      <c r="Q116" s="17">
        <v>6.4</v>
      </c>
      <c r="R116" s="17">
        <v>6.2</v>
      </c>
      <c r="S116" s="17">
        <v>6.1</v>
      </c>
      <c r="T116" s="17">
        <v>6</v>
      </c>
      <c r="U116" s="16">
        <v>5.6</v>
      </c>
      <c r="V116" s="16">
        <v>5.4</v>
      </c>
      <c r="W116" s="16">
        <v>2000</v>
      </c>
      <c r="X116" s="16">
        <v>1900</v>
      </c>
      <c r="Y116" s="16">
        <v>1800</v>
      </c>
      <c r="Z116" s="16">
        <v>1700</v>
      </c>
      <c r="AA116" s="16">
        <v>1600</v>
      </c>
      <c r="AB116" s="16">
        <v>1500</v>
      </c>
      <c r="AC116" s="16">
        <v>1400</v>
      </c>
      <c r="AD116" s="16">
        <v>1350</v>
      </c>
      <c r="AE116" s="16">
        <v>1300</v>
      </c>
      <c r="AG116" s="19"/>
      <c r="AH116" s="20"/>
      <c r="AI116" s="21"/>
    </row>
    <row r="117" spans="1:35" ht="12.5">
      <c r="A117" s="14" t="s">
        <v>242</v>
      </c>
      <c r="B117" s="14">
        <v>6489582</v>
      </c>
      <c r="C117" s="15"/>
      <c r="D117" s="16"/>
      <c r="E117" s="16">
        <v>600</v>
      </c>
      <c r="F117" s="16">
        <v>800</v>
      </c>
      <c r="G117" s="16">
        <v>1000</v>
      </c>
      <c r="H117" s="16">
        <v>1010</v>
      </c>
      <c r="I117" s="16">
        <v>1020</v>
      </c>
      <c r="J117" s="16">
        <v>25.4</v>
      </c>
      <c r="K117" s="17">
        <v>21.4</v>
      </c>
      <c r="L117" s="17">
        <v>20.2</v>
      </c>
      <c r="M117" s="17">
        <v>19.5</v>
      </c>
      <c r="N117" s="17">
        <v>18.8</v>
      </c>
      <c r="O117" s="17">
        <v>18.100000000000001</v>
      </c>
      <c r="P117" s="17">
        <v>17.7</v>
      </c>
      <c r="Q117" s="17">
        <v>17.3</v>
      </c>
      <c r="R117" s="17">
        <v>16.899999999999999</v>
      </c>
      <c r="S117" s="17">
        <v>16.5</v>
      </c>
      <c r="T117" s="17">
        <v>16</v>
      </c>
      <c r="U117" s="16">
        <v>15.5</v>
      </c>
      <c r="V117" s="16">
        <v>15</v>
      </c>
      <c r="W117" s="16">
        <v>4600</v>
      </c>
      <c r="X117" s="16">
        <v>4480</v>
      </c>
      <c r="Y117" s="16">
        <v>4320</v>
      </c>
      <c r="Z117" s="16">
        <v>4160</v>
      </c>
      <c r="AA117" s="16">
        <v>4000</v>
      </c>
      <c r="AB117" s="16">
        <v>3850</v>
      </c>
      <c r="AC117" s="16">
        <v>3700</v>
      </c>
      <c r="AD117" s="16">
        <v>3630</v>
      </c>
      <c r="AE117" s="16">
        <v>3550</v>
      </c>
      <c r="AG117" s="19"/>
      <c r="AH117" s="20"/>
      <c r="AI117" s="21"/>
    </row>
    <row r="118" spans="1:35" ht="12.5">
      <c r="A118" s="14" t="s">
        <v>243</v>
      </c>
      <c r="B118" s="14">
        <v>6308460</v>
      </c>
      <c r="C118" s="15"/>
      <c r="D118" s="16"/>
      <c r="E118" s="16">
        <v>300</v>
      </c>
      <c r="F118" s="16">
        <v>400</v>
      </c>
      <c r="G118" s="16">
        <v>600</v>
      </c>
      <c r="H118" s="16">
        <v>710</v>
      </c>
      <c r="I118" s="16">
        <v>720</v>
      </c>
      <c r="J118" s="16">
        <v>18</v>
      </c>
      <c r="K118" s="17">
        <v>17</v>
      </c>
      <c r="L118" s="17">
        <v>16.8</v>
      </c>
      <c r="M118" s="17">
        <v>16.399999999999999</v>
      </c>
      <c r="N118" s="17">
        <v>16</v>
      </c>
      <c r="O118" s="17">
        <v>15.5</v>
      </c>
      <c r="P118" s="17">
        <v>15</v>
      </c>
      <c r="Q118" s="17">
        <v>14.5</v>
      </c>
      <c r="R118" s="17">
        <v>14</v>
      </c>
      <c r="S118" s="17">
        <v>13.8</v>
      </c>
      <c r="T118" s="17">
        <v>13.6</v>
      </c>
      <c r="U118" s="16">
        <v>13.4</v>
      </c>
      <c r="V118" s="16">
        <v>13.2</v>
      </c>
      <c r="W118" s="16">
        <v>3600</v>
      </c>
      <c r="X118" s="16">
        <v>3500</v>
      </c>
      <c r="Y118" s="16">
        <v>3400</v>
      </c>
      <c r="Z118" s="16">
        <v>3300</v>
      </c>
      <c r="AA118" s="16">
        <v>3200</v>
      </c>
      <c r="AB118" s="16">
        <v>3100</v>
      </c>
      <c r="AC118" s="16">
        <v>3000</v>
      </c>
      <c r="AD118" s="16">
        <v>2900</v>
      </c>
      <c r="AE118" s="16">
        <v>2800</v>
      </c>
      <c r="AG118" s="19"/>
      <c r="AH118" s="20"/>
      <c r="AI118" s="21"/>
    </row>
    <row r="119" spans="1:35" ht="12.5">
      <c r="A119" s="14" t="s">
        <v>244</v>
      </c>
      <c r="B119" s="14">
        <v>6489578</v>
      </c>
      <c r="C119" s="15"/>
      <c r="D119" s="16"/>
      <c r="E119" s="16">
        <v>600</v>
      </c>
      <c r="F119" s="16">
        <v>800</v>
      </c>
      <c r="G119" s="16">
        <v>1000</v>
      </c>
      <c r="H119" s="16">
        <v>1120</v>
      </c>
      <c r="I119" s="16">
        <v>1130</v>
      </c>
      <c r="J119" s="16">
        <v>28.2</v>
      </c>
      <c r="K119" s="17">
        <v>24.4</v>
      </c>
      <c r="L119" s="17">
        <v>23.2</v>
      </c>
      <c r="M119" s="17">
        <v>21.5</v>
      </c>
      <c r="N119" s="17">
        <v>20.3</v>
      </c>
      <c r="O119" s="17">
        <v>19.100000000000001</v>
      </c>
      <c r="P119" s="17">
        <v>17.8</v>
      </c>
      <c r="Q119" s="17">
        <v>16.8</v>
      </c>
      <c r="R119" s="17">
        <v>16.2</v>
      </c>
      <c r="S119" s="17">
        <v>15.8</v>
      </c>
      <c r="T119" s="17">
        <v>15.2</v>
      </c>
      <c r="U119" s="16">
        <v>14.7</v>
      </c>
      <c r="V119" s="16">
        <v>14</v>
      </c>
      <c r="W119" s="16">
        <v>4700</v>
      </c>
      <c r="X119" s="16">
        <v>4600</v>
      </c>
      <c r="Y119" s="16">
        <v>4300</v>
      </c>
      <c r="Z119" s="16">
        <v>4100</v>
      </c>
      <c r="AA119" s="16">
        <v>3950</v>
      </c>
      <c r="AB119" s="16">
        <v>3800</v>
      </c>
      <c r="AC119" s="16">
        <v>3700</v>
      </c>
      <c r="AD119" s="16">
        <v>3650</v>
      </c>
      <c r="AE119" s="16">
        <v>3600</v>
      </c>
      <c r="AG119" s="19"/>
      <c r="AH119" s="20"/>
      <c r="AI119" s="21"/>
    </row>
    <row r="120" spans="1:35" ht="12.5">
      <c r="A120" s="14" t="s">
        <v>245</v>
      </c>
      <c r="B120" s="14">
        <v>6308461</v>
      </c>
      <c r="C120" s="15"/>
      <c r="D120" s="16"/>
      <c r="E120" s="16">
        <v>300</v>
      </c>
      <c r="F120" s="16">
        <v>400</v>
      </c>
      <c r="G120" s="16">
        <v>600</v>
      </c>
      <c r="H120" s="16">
        <v>710</v>
      </c>
      <c r="I120" s="16">
        <v>720</v>
      </c>
      <c r="J120" s="16">
        <v>18</v>
      </c>
      <c r="K120" s="17">
        <v>17</v>
      </c>
      <c r="L120" s="17">
        <v>16.8</v>
      </c>
      <c r="M120" s="17">
        <v>16.399999999999999</v>
      </c>
      <c r="N120" s="17">
        <v>16</v>
      </c>
      <c r="O120" s="17">
        <v>15.5</v>
      </c>
      <c r="P120" s="17">
        <v>15</v>
      </c>
      <c r="Q120" s="17">
        <v>14.5</v>
      </c>
      <c r="R120" s="17">
        <v>14</v>
      </c>
      <c r="S120" s="17">
        <v>13.8</v>
      </c>
      <c r="T120" s="17">
        <v>13.6</v>
      </c>
      <c r="U120" s="16">
        <v>13.4</v>
      </c>
      <c r="V120" s="16">
        <v>13.2</v>
      </c>
      <c r="W120" s="16">
        <v>3600</v>
      </c>
      <c r="X120" s="16">
        <v>3500</v>
      </c>
      <c r="Y120" s="16">
        <v>3400</v>
      </c>
      <c r="Z120" s="16">
        <v>3300</v>
      </c>
      <c r="AA120" s="16">
        <v>3200</v>
      </c>
      <c r="AB120" s="16">
        <v>3100</v>
      </c>
      <c r="AC120" s="16">
        <v>3000</v>
      </c>
      <c r="AD120" s="16">
        <v>2900</v>
      </c>
      <c r="AE120" s="16">
        <v>2800</v>
      </c>
      <c r="AG120" s="19"/>
      <c r="AH120" s="20"/>
      <c r="AI120" s="21"/>
    </row>
    <row r="121" spans="1:35" ht="12.5">
      <c r="A121" s="14" t="s">
        <v>246</v>
      </c>
      <c r="B121" s="14">
        <v>6306464</v>
      </c>
      <c r="C121" s="15"/>
      <c r="D121" s="16"/>
      <c r="E121" s="16">
        <v>290</v>
      </c>
      <c r="F121" s="16">
        <v>300</v>
      </c>
      <c r="G121" s="16">
        <v>310</v>
      </c>
      <c r="H121" s="16">
        <v>320</v>
      </c>
      <c r="I121" s="16">
        <v>330</v>
      </c>
      <c r="J121" s="16">
        <v>8.1999999999999993</v>
      </c>
      <c r="K121" s="17">
        <v>8</v>
      </c>
      <c r="L121" s="17">
        <v>7.5</v>
      </c>
      <c r="M121" s="17">
        <v>7</v>
      </c>
      <c r="N121" s="17">
        <v>6.5</v>
      </c>
      <c r="O121" s="17">
        <v>6</v>
      </c>
      <c r="P121" s="17">
        <v>5.8</v>
      </c>
      <c r="Q121" s="17">
        <v>5.7</v>
      </c>
      <c r="R121" s="17">
        <v>5.6</v>
      </c>
      <c r="S121" s="17">
        <v>5.5</v>
      </c>
      <c r="T121" s="17">
        <v>5.4</v>
      </c>
      <c r="U121" s="16">
        <v>5.3</v>
      </c>
      <c r="V121" s="16">
        <v>5.2</v>
      </c>
      <c r="W121" s="16">
        <v>1700</v>
      </c>
      <c r="X121" s="16">
        <v>1600</v>
      </c>
      <c r="Y121" s="16">
        <v>1500</v>
      </c>
      <c r="Z121" s="16">
        <v>1400</v>
      </c>
      <c r="AA121" s="16">
        <v>1350</v>
      </c>
      <c r="AB121" s="16">
        <v>1350</v>
      </c>
      <c r="AC121" s="16">
        <v>1350</v>
      </c>
      <c r="AD121" s="16">
        <v>1300</v>
      </c>
      <c r="AE121" s="16">
        <v>1300</v>
      </c>
      <c r="AG121" s="19"/>
      <c r="AH121" s="20"/>
      <c r="AI121" s="21"/>
    </row>
    <row r="122" spans="1:35" ht="12.5">
      <c r="A122" s="14" t="s">
        <v>247</v>
      </c>
      <c r="B122" s="14">
        <v>6308039</v>
      </c>
      <c r="C122" s="15"/>
      <c r="D122" s="16"/>
      <c r="E122" s="16">
        <v>300</v>
      </c>
      <c r="F122" s="16">
        <v>400</v>
      </c>
      <c r="G122" s="16">
        <v>600</v>
      </c>
      <c r="H122" s="16">
        <v>710</v>
      </c>
      <c r="I122" s="16">
        <v>720</v>
      </c>
      <c r="J122" s="16">
        <v>18</v>
      </c>
      <c r="K122" s="17">
        <v>17.5</v>
      </c>
      <c r="L122" s="17">
        <v>17.2</v>
      </c>
      <c r="M122" s="17">
        <v>17</v>
      </c>
      <c r="N122" s="17">
        <v>16.5</v>
      </c>
      <c r="O122" s="17">
        <v>16.2</v>
      </c>
      <c r="P122" s="17">
        <v>16.100000000000001</v>
      </c>
      <c r="Q122" s="17">
        <v>16</v>
      </c>
      <c r="R122" s="17">
        <v>15.8</v>
      </c>
      <c r="S122" s="17">
        <v>15.6</v>
      </c>
      <c r="T122" s="17">
        <v>15.5</v>
      </c>
      <c r="U122" s="16">
        <v>15.4</v>
      </c>
      <c r="V122" s="16">
        <v>15.2</v>
      </c>
      <c r="W122" s="16">
        <v>3900</v>
      </c>
      <c r="X122" s="16">
        <v>3800</v>
      </c>
      <c r="Y122" s="16">
        <v>3700</v>
      </c>
      <c r="Z122" s="16">
        <v>3600</v>
      </c>
      <c r="AA122" s="16">
        <v>3500</v>
      </c>
      <c r="AB122" s="16">
        <v>3400</v>
      </c>
      <c r="AC122" s="16">
        <v>3350</v>
      </c>
      <c r="AD122" s="16">
        <v>3300</v>
      </c>
      <c r="AE122" s="16">
        <v>3300</v>
      </c>
      <c r="AG122" s="19"/>
      <c r="AH122" s="20"/>
      <c r="AI122" s="21"/>
    </row>
    <row r="123" spans="1:35" ht="12.5">
      <c r="A123" s="14" t="s">
        <v>248</v>
      </c>
      <c r="B123" s="14">
        <v>6309879</v>
      </c>
      <c r="C123" s="15"/>
      <c r="D123" s="16"/>
      <c r="E123" s="16">
        <v>300</v>
      </c>
      <c r="F123" s="16">
        <v>400</v>
      </c>
      <c r="G123" s="16">
        <v>460</v>
      </c>
      <c r="H123" s="16">
        <v>470</v>
      </c>
      <c r="I123" s="16">
        <v>480</v>
      </c>
      <c r="J123" s="16">
        <v>12</v>
      </c>
      <c r="K123" s="17">
        <v>12</v>
      </c>
      <c r="L123" s="17">
        <v>11.8</v>
      </c>
      <c r="M123" s="17">
        <v>11.6</v>
      </c>
      <c r="N123" s="17">
        <v>11.4</v>
      </c>
      <c r="O123" s="17">
        <v>11.2</v>
      </c>
      <c r="P123" s="17">
        <v>11</v>
      </c>
      <c r="Q123" s="17">
        <v>10.5</v>
      </c>
      <c r="R123" s="17">
        <v>10.4</v>
      </c>
      <c r="S123" s="17">
        <v>10.3</v>
      </c>
      <c r="T123" s="17">
        <v>10.199999999999999</v>
      </c>
      <c r="U123" s="16">
        <v>10.1</v>
      </c>
      <c r="V123" s="16">
        <v>10</v>
      </c>
      <c r="W123" s="16">
        <v>2500</v>
      </c>
      <c r="X123" s="16">
        <v>2450</v>
      </c>
      <c r="Y123" s="16">
        <v>2400</v>
      </c>
      <c r="Z123" s="16">
        <v>2350</v>
      </c>
      <c r="AA123" s="16">
        <v>2300</v>
      </c>
      <c r="AB123" s="16">
        <v>2250</v>
      </c>
      <c r="AC123" s="16">
        <v>2230</v>
      </c>
      <c r="AD123" s="16">
        <v>2210</v>
      </c>
      <c r="AE123" s="16">
        <v>2200</v>
      </c>
      <c r="AG123" s="19"/>
      <c r="AH123" s="20"/>
      <c r="AI123" s="21"/>
    </row>
    <row r="124" spans="1:35" ht="12.5">
      <c r="A124" s="14" t="s">
        <v>249</v>
      </c>
      <c r="B124" s="14">
        <v>6307432</v>
      </c>
      <c r="C124" s="15"/>
      <c r="D124" s="16"/>
      <c r="E124" s="16">
        <v>300</v>
      </c>
      <c r="F124" s="16">
        <v>370</v>
      </c>
      <c r="G124" s="16">
        <v>380</v>
      </c>
      <c r="H124" s="16">
        <v>390</v>
      </c>
      <c r="I124" s="16">
        <v>400</v>
      </c>
      <c r="J124" s="16">
        <v>10</v>
      </c>
      <c r="K124" s="17">
        <v>10</v>
      </c>
      <c r="L124" s="17">
        <v>9</v>
      </c>
      <c r="M124" s="17">
        <v>8.8000000000000007</v>
      </c>
      <c r="N124" s="17">
        <v>8.6</v>
      </c>
      <c r="O124" s="17">
        <v>8.4</v>
      </c>
      <c r="P124" s="17">
        <v>8.1999999999999993</v>
      </c>
      <c r="Q124" s="17">
        <v>8</v>
      </c>
      <c r="R124" s="17">
        <v>7.8</v>
      </c>
      <c r="S124" s="17">
        <v>7.6</v>
      </c>
      <c r="T124" s="17">
        <v>7.4</v>
      </c>
      <c r="U124" s="16">
        <v>7.2</v>
      </c>
      <c r="V124" s="16">
        <v>7</v>
      </c>
      <c r="W124" s="16">
        <v>2000</v>
      </c>
      <c r="X124" s="16">
        <v>1950</v>
      </c>
      <c r="Y124" s="16">
        <v>1900</v>
      </c>
      <c r="Z124" s="16">
        <v>1850</v>
      </c>
      <c r="AA124" s="16">
        <v>1800</v>
      </c>
      <c r="AB124" s="16">
        <v>1750</v>
      </c>
      <c r="AC124" s="16">
        <v>1700</v>
      </c>
      <c r="AD124" s="16">
        <v>1680</v>
      </c>
      <c r="AE124" s="16">
        <v>1650</v>
      </c>
    </row>
    <row r="125" spans="1:35" ht="12.5">
      <c r="A125" s="14" t="s">
        <v>250</v>
      </c>
      <c r="B125" s="14">
        <v>6309812</v>
      </c>
      <c r="C125" s="18" t="s">
        <v>140</v>
      </c>
      <c r="D125" s="16"/>
      <c r="E125" s="16">
        <v>290</v>
      </c>
      <c r="F125" s="16">
        <v>300</v>
      </c>
      <c r="G125" s="16">
        <v>310</v>
      </c>
      <c r="H125" s="16">
        <v>320</v>
      </c>
      <c r="I125" s="16">
        <v>330</v>
      </c>
      <c r="J125" s="16">
        <v>8.1999999999999993</v>
      </c>
      <c r="K125" s="17">
        <v>8</v>
      </c>
      <c r="L125" s="17">
        <v>7.5</v>
      </c>
      <c r="M125" s="17">
        <v>7</v>
      </c>
      <c r="N125" s="17">
        <v>6.5</v>
      </c>
      <c r="O125" s="17">
        <v>6</v>
      </c>
      <c r="P125" s="17">
        <v>5.8</v>
      </c>
      <c r="Q125" s="17">
        <v>5.7</v>
      </c>
      <c r="R125" s="17">
        <v>5.6</v>
      </c>
      <c r="S125" s="17">
        <v>5.5</v>
      </c>
      <c r="T125" s="17">
        <v>5.4</v>
      </c>
      <c r="U125" s="16">
        <v>5.3</v>
      </c>
      <c r="V125" s="16">
        <v>5.2</v>
      </c>
      <c r="W125" s="16">
        <v>1700</v>
      </c>
      <c r="X125" s="16">
        <v>1600</v>
      </c>
      <c r="Y125" s="16">
        <v>1500</v>
      </c>
      <c r="Z125" s="16">
        <v>1400</v>
      </c>
      <c r="AA125" s="16">
        <v>1350</v>
      </c>
      <c r="AB125" s="16">
        <v>1350</v>
      </c>
      <c r="AC125" s="16">
        <v>1350</v>
      </c>
      <c r="AD125" s="16">
        <v>1300</v>
      </c>
      <c r="AE125" s="16">
        <v>1300</v>
      </c>
    </row>
    <row r="126" spans="1:35" ht="12.5">
      <c r="A126" s="14" t="s">
        <v>251</v>
      </c>
      <c r="B126" s="14">
        <v>6309843</v>
      </c>
      <c r="C126" s="15"/>
      <c r="D126" s="16"/>
      <c r="E126" s="16">
        <v>300</v>
      </c>
      <c r="F126" s="16">
        <v>400</v>
      </c>
      <c r="G126" s="16">
        <v>540</v>
      </c>
      <c r="H126" s="16">
        <v>550</v>
      </c>
      <c r="I126" s="16">
        <v>560</v>
      </c>
      <c r="J126" s="16">
        <v>14</v>
      </c>
      <c r="K126" s="17">
        <v>14</v>
      </c>
      <c r="L126" s="17">
        <v>13.8</v>
      </c>
      <c r="M126" s="17">
        <v>13.5</v>
      </c>
      <c r="N126" s="17">
        <v>13</v>
      </c>
      <c r="O126" s="17">
        <v>12.8</v>
      </c>
      <c r="P126" s="17">
        <v>12.6</v>
      </c>
      <c r="Q126" s="17">
        <v>12.4</v>
      </c>
      <c r="R126" s="17">
        <v>12.2</v>
      </c>
      <c r="S126" s="17">
        <v>12</v>
      </c>
      <c r="T126" s="17">
        <v>11.8</v>
      </c>
      <c r="U126" s="16">
        <v>11.6</v>
      </c>
      <c r="V126" s="16">
        <v>11.2</v>
      </c>
      <c r="W126" s="16">
        <v>3100</v>
      </c>
      <c r="X126" s="16">
        <v>3000</v>
      </c>
      <c r="Y126" s="16">
        <v>2900</v>
      </c>
      <c r="Z126" s="16">
        <v>2800</v>
      </c>
      <c r="AA126" s="16">
        <v>2750</v>
      </c>
      <c r="AB126" s="16">
        <v>2700</v>
      </c>
      <c r="AC126" s="16">
        <v>2650</v>
      </c>
      <c r="AD126" s="16">
        <v>2650</v>
      </c>
      <c r="AE126" s="16">
        <v>2650</v>
      </c>
    </row>
    <row r="127" spans="1:35" ht="12.5">
      <c r="A127" s="14" t="s">
        <v>252</v>
      </c>
      <c r="B127" s="14">
        <v>6308604</v>
      </c>
      <c r="C127" s="15"/>
      <c r="D127" s="16"/>
      <c r="E127" s="16">
        <v>300</v>
      </c>
      <c r="F127" s="16">
        <v>330</v>
      </c>
      <c r="G127" s="16">
        <v>340</v>
      </c>
      <c r="H127" s="16">
        <v>350</v>
      </c>
      <c r="I127" s="16">
        <v>360</v>
      </c>
      <c r="J127" s="16">
        <v>9</v>
      </c>
      <c r="K127" s="17">
        <v>9</v>
      </c>
      <c r="L127" s="17">
        <v>8</v>
      </c>
      <c r="M127" s="17">
        <v>7.5</v>
      </c>
      <c r="N127" s="17">
        <v>7</v>
      </c>
      <c r="O127" s="17">
        <v>6.5</v>
      </c>
      <c r="P127" s="17">
        <v>6</v>
      </c>
      <c r="Q127" s="17">
        <v>5.8</v>
      </c>
      <c r="R127" s="17">
        <v>5.5</v>
      </c>
      <c r="S127" s="17">
        <v>5.3</v>
      </c>
      <c r="T127" s="17">
        <v>5.2</v>
      </c>
      <c r="U127" s="16">
        <v>5.0999999999999996</v>
      </c>
      <c r="V127" s="16">
        <v>5</v>
      </c>
      <c r="W127" s="16">
        <v>2000</v>
      </c>
      <c r="X127" s="16">
        <v>1900</v>
      </c>
      <c r="Y127" s="16">
        <v>1800</v>
      </c>
      <c r="Z127" s="16">
        <v>1600</v>
      </c>
      <c r="AA127" s="16">
        <v>1400</v>
      </c>
      <c r="AB127" s="16">
        <v>1300</v>
      </c>
      <c r="AC127" s="16">
        <v>1270</v>
      </c>
      <c r="AD127" s="16">
        <v>1260</v>
      </c>
      <c r="AE127" s="16">
        <v>1250</v>
      </c>
    </row>
    <row r="128" spans="1:35" ht="12.5">
      <c r="A128" s="14" t="s">
        <v>253</v>
      </c>
      <c r="B128" s="14">
        <v>6308562</v>
      </c>
      <c r="C128" s="15"/>
      <c r="D128" s="16">
        <v>5070</v>
      </c>
      <c r="E128" s="16"/>
      <c r="F128" s="16"/>
      <c r="G128" s="16"/>
      <c r="H128" s="16"/>
      <c r="I128" s="16"/>
      <c r="J128" s="16"/>
      <c r="K128" s="17"/>
      <c r="L128" s="17">
        <v>8.5</v>
      </c>
      <c r="M128" s="17">
        <v>6.3</v>
      </c>
      <c r="N128" s="17">
        <v>5.6</v>
      </c>
      <c r="O128" s="17">
        <v>5.0999999999999996</v>
      </c>
      <c r="P128" s="17">
        <v>3.9</v>
      </c>
      <c r="Q128" s="17">
        <v>2.9</v>
      </c>
      <c r="R128" s="17">
        <v>2.7</v>
      </c>
      <c r="S128" s="17">
        <v>2.2999999999999998</v>
      </c>
      <c r="T128" s="17">
        <v>2</v>
      </c>
      <c r="U128" s="16">
        <v>1.4</v>
      </c>
      <c r="V128" s="16">
        <v>1.4</v>
      </c>
      <c r="W128" s="16"/>
      <c r="X128" s="16">
        <v>1610</v>
      </c>
      <c r="Y128" s="16">
        <v>1460</v>
      </c>
      <c r="Z128" s="16">
        <v>920</v>
      </c>
      <c r="AA128" s="16">
        <v>840</v>
      </c>
      <c r="AB128" s="16">
        <v>720</v>
      </c>
      <c r="AC128" s="16">
        <v>590</v>
      </c>
      <c r="AD128" s="16">
        <v>390</v>
      </c>
      <c r="AE128" s="16">
        <v>360</v>
      </c>
    </row>
    <row r="129" spans="1:31" ht="12.5">
      <c r="A129" s="14" t="s">
        <v>254</v>
      </c>
      <c r="B129" s="14">
        <v>6309622</v>
      </c>
      <c r="C129" s="15"/>
      <c r="D129" s="16"/>
      <c r="E129" s="16">
        <v>300</v>
      </c>
      <c r="F129" s="16">
        <v>400</v>
      </c>
      <c r="G129" s="16">
        <v>600</v>
      </c>
      <c r="H129" s="16">
        <v>800</v>
      </c>
      <c r="I129" s="16">
        <v>1280</v>
      </c>
      <c r="J129" s="16">
        <v>32</v>
      </c>
      <c r="K129" s="17">
        <v>31.5</v>
      </c>
      <c r="L129" s="17">
        <v>31.2</v>
      </c>
      <c r="M129" s="17">
        <v>31</v>
      </c>
      <c r="N129" s="17">
        <v>30.5</v>
      </c>
      <c r="O129" s="17">
        <v>30.2</v>
      </c>
      <c r="P129" s="17">
        <v>30.1</v>
      </c>
      <c r="Q129" s="17">
        <v>30</v>
      </c>
      <c r="R129" s="17">
        <v>29.8</v>
      </c>
      <c r="S129" s="17">
        <v>29.6</v>
      </c>
      <c r="T129" s="17">
        <v>29.5</v>
      </c>
      <c r="U129" s="16">
        <v>29.4</v>
      </c>
      <c r="V129" s="16">
        <v>29.2</v>
      </c>
      <c r="W129" s="16">
        <v>7200</v>
      </c>
      <c r="X129" s="16">
        <v>7100</v>
      </c>
      <c r="Y129" s="16">
        <v>7000</v>
      </c>
      <c r="Z129" s="16">
        <v>6900</v>
      </c>
      <c r="AA129" s="16">
        <v>6800</v>
      </c>
      <c r="AB129" s="16">
        <v>6700</v>
      </c>
      <c r="AC129" s="16">
        <v>6650</v>
      </c>
      <c r="AD129" s="16">
        <v>6600</v>
      </c>
      <c r="AE129" s="16">
        <v>6600</v>
      </c>
    </row>
    <row r="130" spans="1:31" ht="12.5">
      <c r="A130" s="14" t="s">
        <v>255</v>
      </c>
      <c r="B130" s="14">
        <v>6308545</v>
      </c>
      <c r="C130" s="15"/>
      <c r="D130" s="16"/>
      <c r="E130" s="16">
        <v>290</v>
      </c>
      <c r="F130" s="16">
        <v>300</v>
      </c>
      <c r="G130" s="16">
        <v>310</v>
      </c>
      <c r="H130" s="16">
        <v>320</v>
      </c>
      <c r="I130" s="16">
        <v>330</v>
      </c>
      <c r="J130" s="16">
        <v>8.1999999999999993</v>
      </c>
      <c r="K130" s="17">
        <v>5.4</v>
      </c>
      <c r="L130" s="17">
        <v>4.5</v>
      </c>
      <c r="M130" s="17">
        <v>4.4000000000000004</v>
      </c>
      <c r="N130" s="17">
        <v>4.3</v>
      </c>
      <c r="O130" s="17">
        <v>4.2</v>
      </c>
      <c r="P130" s="17">
        <v>4.0999999999999996</v>
      </c>
      <c r="Q130" s="17">
        <v>4</v>
      </c>
      <c r="R130" s="17">
        <v>3.9</v>
      </c>
      <c r="S130" s="17">
        <v>3.8</v>
      </c>
      <c r="T130" s="17">
        <v>3.7</v>
      </c>
      <c r="U130" s="16">
        <v>3.6</v>
      </c>
      <c r="V130" s="16">
        <v>3.5</v>
      </c>
      <c r="W130" s="16">
        <v>1200</v>
      </c>
      <c r="X130" s="16">
        <v>1100</v>
      </c>
      <c r="Y130" s="16">
        <v>900</v>
      </c>
      <c r="Z130" s="16">
        <v>850</v>
      </c>
      <c r="AA130" s="16">
        <v>800</v>
      </c>
      <c r="AB130" s="16">
        <v>780</v>
      </c>
      <c r="AC130" s="16">
        <v>770</v>
      </c>
      <c r="AD130" s="16">
        <v>760</v>
      </c>
      <c r="AE130" s="16">
        <v>750</v>
      </c>
    </row>
    <row r="131" spans="1:31" ht="12.5">
      <c r="A131" s="14" t="s">
        <v>256</v>
      </c>
      <c r="B131" s="14">
        <v>6307371</v>
      </c>
      <c r="C131" s="15"/>
      <c r="D131" s="16"/>
      <c r="E131" s="16">
        <v>300</v>
      </c>
      <c r="F131" s="16">
        <v>400</v>
      </c>
      <c r="G131" s="16">
        <v>600</v>
      </c>
      <c r="H131" s="16">
        <v>800</v>
      </c>
      <c r="I131" s="16">
        <v>970</v>
      </c>
      <c r="J131" s="16">
        <v>24.2</v>
      </c>
      <c r="K131" s="17">
        <v>24.2</v>
      </c>
      <c r="L131" s="17">
        <v>24</v>
      </c>
      <c r="M131" s="17">
        <v>23.8</v>
      </c>
      <c r="N131" s="17">
        <v>23.7</v>
      </c>
      <c r="O131" s="17">
        <v>23.6</v>
      </c>
      <c r="P131" s="17">
        <v>23.4</v>
      </c>
      <c r="Q131" s="17">
        <v>23.2</v>
      </c>
      <c r="R131" s="17">
        <v>23</v>
      </c>
      <c r="S131" s="17">
        <v>22.8</v>
      </c>
      <c r="T131" s="17">
        <v>22.6</v>
      </c>
      <c r="U131" s="16">
        <v>22.4</v>
      </c>
      <c r="V131" s="16">
        <v>22.2</v>
      </c>
      <c r="W131" s="16">
        <v>5770</v>
      </c>
      <c r="X131" s="16">
        <v>5670</v>
      </c>
      <c r="Y131" s="16">
        <v>5620</v>
      </c>
      <c r="Z131" s="16">
        <v>5570</v>
      </c>
      <c r="AA131" s="16">
        <v>5520</v>
      </c>
      <c r="AB131" s="16">
        <v>5470</v>
      </c>
      <c r="AC131" s="16">
        <v>5420</v>
      </c>
      <c r="AD131" s="16">
        <v>5370</v>
      </c>
      <c r="AE131" s="16">
        <v>5270</v>
      </c>
    </row>
    <row r="132" spans="1:31" ht="12.5">
      <c r="A132" s="14" t="s">
        <v>257</v>
      </c>
      <c r="B132" s="14">
        <v>6309855</v>
      </c>
      <c r="C132" s="15"/>
      <c r="D132" s="16"/>
      <c r="E132" s="16">
        <v>290</v>
      </c>
      <c r="F132" s="16">
        <v>300</v>
      </c>
      <c r="G132" s="16">
        <v>310</v>
      </c>
      <c r="H132" s="16">
        <v>320</v>
      </c>
      <c r="I132" s="16">
        <v>330</v>
      </c>
      <c r="J132" s="16">
        <v>8.1999999999999993</v>
      </c>
      <c r="K132" s="17">
        <v>7</v>
      </c>
      <c r="L132" s="17">
        <v>6.5</v>
      </c>
      <c r="M132" s="17">
        <v>6</v>
      </c>
      <c r="N132" s="17">
        <v>5.9</v>
      </c>
      <c r="O132" s="17">
        <v>5.8</v>
      </c>
      <c r="P132" s="17">
        <v>5.6</v>
      </c>
      <c r="Q132" s="17">
        <v>5.4</v>
      </c>
      <c r="R132" s="17">
        <v>5.2</v>
      </c>
      <c r="S132" s="17">
        <v>5</v>
      </c>
      <c r="T132" s="17">
        <v>4.8</v>
      </c>
      <c r="U132" s="16">
        <v>4.5999999999999996</v>
      </c>
      <c r="V132" s="16">
        <v>4.4000000000000004</v>
      </c>
      <c r="W132" s="16">
        <v>1400</v>
      </c>
      <c r="X132" s="16">
        <v>1300</v>
      </c>
      <c r="Y132" s="16">
        <v>1250</v>
      </c>
      <c r="Z132" s="16">
        <v>1230</v>
      </c>
      <c r="AA132" s="16">
        <v>1200</v>
      </c>
      <c r="AB132" s="16">
        <v>1150</v>
      </c>
      <c r="AC132" s="16">
        <v>1100</v>
      </c>
      <c r="AD132" s="16">
        <v>1050</v>
      </c>
      <c r="AE132" s="16">
        <v>1000</v>
      </c>
    </row>
    <row r="133" spans="1:31" s="24" customFormat="1" ht="14.5">
      <c r="A133" s="22" t="s">
        <v>258</v>
      </c>
      <c r="B133" s="23">
        <v>1.86</v>
      </c>
      <c r="J133" s="23">
        <v>1.86</v>
      </c>
      <c r="K133" s="23">
        <v>1.86</v>
      </c>
      <c r="L133" s="23">
        <v>1.86</v>
      </c>
      <c r="M133" s="23">
        <v>1.86</v>
      </c>
      <c r="N133" s="23">
        <v>1.86</v>
      </c>
      <c r="O133" s="23">
        <v>1.86</v>
      </c>
      <c r="P133" s="23">
        <v>1.86</v>
      </c>
      <c r="Q133" s="23">
        <v>1.86</v>
      </c>
    </row>
    <row r="134" spans="1:31" s="24" customFormat="1" ht="14.5">
      <c r="A134" s="22" t="s">
        <v>259</v>
      </c>
      <c r="B134" s="23">
        <v>1.74</v>
      </c>
      <c r="J134" s="23">
        <v>1.74</v>
      </c>
      <c r="K134" s="23">
        <v>1.74</v>
      </c>
      <c r="L134" s="23">
        <v>1.74</v>
      </c>
      <c r="M134" s="23">
        <v>1.74</v>
      </c>
      <c r="N134" s="23">
        <v>1.74</v>
      </c>
      <c r="O134" s="23">
        <v>1.74</v>
      </c>
      <c r="P134" s="23">
        <v>1.74</v>
      </c>
      <c r="Q134" s="23">
        <v>1.74</v>
      </c>
    </row>
    <row r="135" spans="1:31" s="24" customFormat="1" ht="14.5">
      <c r="A135" s="22" t="s">
        <v>260</v>
      </c>
      <c r="B135" s="23">
        <v>1.74</v>
      </c>
      <c r="J135" s="23">
        <v>1.74</v>
      </c>
      <c r="K135" s="23">
        <v>1.74</v>
      </c>
      <c r="L135" s="23">
        <v>1.74</v>
      </c>
      <c r="M135" s="23">
        <v>1.74</v>
      </c>
      <c r="N135" s="23">
        <v>1.74</v>
      </c>
      <c r="O135" s="23">
        <v>1.74</v>
      </c>
      <c r="P135" s="23">
        <v>1.74</v>
      </c>
      <c r="Q135" s="23">
        <v>1.74</v>
      </c>
    </row>
    <row r="136" spans="1:31" s="24" customFormat="1" ht="12.75" customHeight="1">
      <c r="A136" s="22" t="s">
        <v>261</v>
      </c>
      <c r="B136" s="23">
        <v>12</v>
      </c>
      <c r="J136" s="23">
        <v>12</v>
      </c>
      <c r="K136" s="23">
        <v>12</v>
      </c>
      <c r="L136" s="23">
        <v>12</v>
      </c>
      <c r="M136" s="23">
        <v>12</v>
      </c>
      <c r="N136" s="23">
        <v>12</v>
      </c>
      <c r="O136" s="23">
        <v>12</v>
      </c>
      <c r="P136" s="23">
        <v>12</v>
      </c>
      <c r="Q136" s="23">
        <v>12</v>
      </c>
    </row>
    <row r="137" spans="1:31" s="24" customFormat="1" ht="12.75" customHeight="1">
      <c r="A137" s="22" t="s">
        <v>262</v>
      </c>
      <c r="B137" s="23">
        <v>1.86</v>
      </c>
      <c r="J137" s="23">
        <v>1.86</v>
      </c>
      <c r="K137" s="23">
        <v>1.86</v>
      </c>
      <c r="L137" s="23">
        <v>1.86</v>
      </c>
      <c r="M137" s="23">
        <v>1.86</v>
      </c>
      <c r="N137" s="23">
        <v>1.86</v>
      </c>
      <c r="O137" s="23">
        <v>1.86</v>
      </c>
      <c r="P137" s="23">
        <v>1.86</v>
      </c>
      <c r="Q137" s="23">
        <v>1.86</v>
      </c>
    </row>
    <row r="138" spans="1:31" s="24" customFormat="1" ht="12.75" customHeight="1">
      <c r="A138" s="22" t="s">
        <v>263</v>
      </c>
      <c r="B138" s="23">
        <v>2.23</v>
      </c>
      <c r="J138" s="23">
        <v>2.23</v>
      </c>
      <c r="K138" s="23">
        <v>2.23</v>
      </c>
      <c r="L138" s="23">
        <v>2.23</v>
      </c>
      <c r="M138" s="23">
        <v>2.23</v>
      </c>
      <c r="N138" s="23">
        <v>2.23</v>
      </c>
      <c r="O138" s="23">
        <v>2.23</v>
      </c>
      <c r="P138" s="23">
        <v>2.23</v>
      </c>
      <c r="Q138" s="23">
        <v>2.23</v>
      </c>
    </row>
    <row r="139" spans="1:31" s="24" customFormat="1" ht="12.75" customHeight="1">
      <c r="A139" s="22" t="s">
        <v>264</v>
      </c>
      <c r="B139" s="23">
        <v>2.12</v>
      </c>
      <c r="J139" s="23">
        <v>2.12</v>
      </c>
      <c r="K139" s="23">
        <v>2.12</v>
      </c>
      <c r="L139" s="23">
        <v>2.12</v>
      </c>
      <c r="M139" s="23">
        <v>2.12</v>
      </c>
      <c r="N139" s="23">
        <v>2.12</v>
      </c>
      <c r="O139" s="23">
        <v>2.12</v>
      </c>
      <c r="P139" s="23">
        <v>2.12</v>
      </c>
      <c r="Q139" s="23">
        <v>2.12</v>
      </c>
    </row>
    <row r="140" spans="1:31" s="24" customFormat="1" ht="12.75" customHeight="1">
      <c r="A140" s="22" t="s">
        <v>265</v>
      </c>
      <c r="B140" s="23">
        <v>2.23</v>
      </c>
      <c r="J140" s="23">
        <v>2.23</v>
      </c>
      <c r="K140" s="23">
        <v>2.23</v>
      </c>
      <c r="L140" s="23">
        <v>2.23</v>
      </c>
      <c r="M140" s="23">
        <v>2.23</v>
      </c>
      <c r="N140" s="23">
        <v>2.23</v>
      </c>
      <c r="O140" s="23">
        <v>2.23</v>
      </c>
      <c r="P140" s="23">
        <v>2.23</v>
      </c>
      <c r="Q140" s="23">
        <v>2.23</v>
      </c>
    </row>
    <row r="141" spans="1:31" s="24" customFormat="1" ht="12" customHeight="1">
      <c r="A141" s="22" t="s">
        <v>266</v>
      </c>
      <c r="B141" s="23">
        <v>1.86</v>
      </c>
      <c r="J141" s="23">
        <v>1.86</v>
      </c>
      <c r="K141" s="23">
        <v>1.86</v>
      </c>
      <c r="L141" s="23">
        <v>1.86</v>
      </c>
      <c r="M141" s="23">
        <v>1.86</v>
      </c>
      <c r="N141" s="23">
        <v>1.86</v>
      </c>
      <c r="O141" s="23">
        <v>1.86</v>
      </c>
      <c r="P141" s="23">
        <v>1.86</v>
      </c>
      <c r="Q141" s="23">
        <v>1.86</v>
      </c>
    </row>
    <row r="142" spans="1:31" s="24" customFormat="1" ht="25.5" customHeight="1">
      <c r="A142" s="22" t="s">
        <v>267</v>
      </c>
      <c r="B142" s="23">
        <v>12</v>
      </c>
      <c r="J142" s="23">
        <v>12</v>
      </c>
      <c r="K142" s="23">
        <v>12</v>
      </c>
      <c r="L142" s="23">
        <v>12</v>
      </c>
      <c r="M142" s="23">
        <v>12</v>
      </c>
      <c r="N142" s="23">
        <v>12</v>
      </c>
      <c r="O142" s="23">
        <v>12</v>
      </c>
      <c r="P142" s="23">
        <v>12</v>
      </c>
      <c r="Q142" s="23">
        <v>12</v>
      </c>
    </row>
    <row r="143" spans="1:31" s="24" customFormat="1" ht="12.75" customHeight="1">
      <c r="A143" s="22" t="s">
        <v>268</v>
      </c>
      <c r="B143" s="23">
        <v>2.95</v>
      </c>
      <c r="J143" s="23">
        <v>2.95</v>
      </c>
      <c r="K143" s="23">
        <v>2.95</v>
      </c>
      <c r="L143" s="23">
        <v>2.95</v>
      </c>
      <c r="M143" s="23">
        <v>2.95</v>
      </c>
      <c r="N143" s="23">
        <v>2.95</v>
      </c>
      <c r="O143" s="23">
        <v>2.95</v>
      </c>
      <c r="P143" s="23">
        <v>2.95</v>
      </c>
      <c r="Q143" s="23">
        <v>2.95</v>
      </c>
    </row>
    <row r="144" spans="1:31" s="24" customFormat="1" ht="14.25" customHeight="1">
      <c r="A144" s="22" t="s">
        <v>269</v>
      </c>
      <c r="B144" s="23">
        <v>2.23</v>
      </c>
      <c r="J144" s="23">
        <v>2.23</v>
      </c>
      <c r="K144" s="23">
        <v>2.23</v>
      </c>
      <c r="L144" s="23">
        <v>2.23</v>
      </c>
      <c r="M144" s="23">
        <v>2.23</v>
      </c>
      <c r="N144" s="23">
        <v>2.23</v>
      </c>
      <c r="O144" s="23">
        <v>2.23</v>
      </c>
      <c r="P144" s="23">
        <v>2.23</v>
      </c>
      <c r="Q144" s="23">
        <v>2.23</v>
      </c>
    </row>
    <row r="145" spans="1:17" s="24" customFormat="1" ht="13.5" customHeight="1">
      <c r="A145" s="22" t="s">
        <v>270</v>
      </c>
      <c r="B145" s="23">
        <v>1.21</v>
      </c>
      <c r="J145" s="23">
        <v>1.21</v>
      </c>
      <c r="K145" s="23">
        <v>1.21</v>
      </c>
      <c r="L145" s="23">
        <v>1.21</v>
      </c>
      <c r="M145" s="23">
        <v>1.21</v>
      </c>
      <c r="N145" s="23">
        <v>1.21</v>
      </c>
      <c r="O145" s="23">
        <v>1.21</v>
      </c>
      <c r="P145" s="23">
        <v>1.21</v>
      </c>
      <c r="Q145" s="23">
        <v>1.21</v>
      </c>
    </row>
    <row r="146" spans="1:17" s="24" customFormat="1" ht="12" customHeight="1">
      <c r="A146" s="22" t="s">
        <v>271</v>
      </c>
      <c r="B146" s="23">
        <v>2.12</v>
      </c>
      <c r="J146" s="23">
        <v>2.12</v>
      </c>
      <c r="K146" s="23">
        <v>2.12</v>
      </c>
      <c r="L146" s="23">
        <v>2.12</v>
      </c>
      <c r="M146" s="23">
        <v>2.12</v>
      </c>
      <c r="N146" s="23">
        <v>2.12</v>
      </c>
      <c r="O146" s="23">
        <v>2.12</v>
      </c>
      <c r="P146" s="23">
        <v>2.12</v>
      </c>
      <c r="Q146" s="23">
        <v>2.12</v>
      </c>
    </row>
    <row r="147" spans="1:17" s="24" customFormat="1" ht="12.75" customHeight="1">
      <c r="A147" s="22" t="s">
        <v>272</v>
      </c>
      <c r="B147" s="23">
        <v>2.23</v>
      </c>
      <c r="J147" s="23">
        <v>2.23</v>
      </c>
      <c r="K147" s="23">
        <v>2.23</v>
      </c>
      <c r="L147" s="23">
        <v>2.23</v>
      </c>
      <c r="M147" s="23">
        <v>2.23</v>
      </c>
      <c r="N147" s="23">
        <v>2.23</v>
      </c>
      <c r="O147" s="23">
        <v>2.23</v>
      </c>
      <c r="P147" s="23">
        <v>2.23</v>
      </c>
      <c r="Q147" s="23">
        <v>2.23</v>
      </c>
    </row>
    <row r="148" spans="1:17" s="24" customFormat="1" ht="12.75" customHeight="1">
      <c r="A148" s="22" t="s">
        <v>273</v>
      </c>
      <c r="B148" s="23">
        <v>1.74</v>
      </c>
      <c r="J148" s="23">
        <v>1.74</v>
      </c>
      <c r="K148" s="23">
        <v>1.74</v>
      </c>
      <c r="L148" s="23">
        <v>1.74</v>
      </c>
      <c r="M148" s="23">
        <v>1.74</v>
      </c>
      <c r="N148" s="23">
        <v>1.74</v>
      </c>
      <c r="O148" s="23">
        <v>1.74</v>
      </c>
      <c r="P148" s="23">
        <v>1.74</v>
      </c>
      <c r="Q148" s="23">
        <v>1.74</v>
      </c>
    </row>
    <row r="149" spans="1:17" s="24" customFormat="1" ht="12.75" customHeight="1">
      <c r="A149" s="22" t="s">
        <v>274</v>
      </c>
      <c r="B149" s="23">
        <v>1.74</v>
      </c>
      <c r="J149" s="23">
        <v>1.74</v>
      </c>
      <c r="K149" s="23">
        <v>1.74</v>
      </c>
      <c r="L149" s="23">
        <v>1.74</v>
      </c>
      <c r="M149" s="23">
        <v>1.74</v>
      </c>
      <c r="N149" s="23">
        <v>1.74</v>
      </c>
      <c r="O149" s="23">
        <v>1.74</v>
      </c>
      <c r="P149" s="23">
        <v>1.74</v>
      </c>
      <c r="Q149" s="23">
        <v>1.74</v>
      </c>
    </row>
    <row r="150" spans="1:17" s="24" customFormat="1" ht="52.5" customHeight="1">
      <c r="A150" s="22" t="s">
        <v>275</v>
      </c>
      <c r="B150" s="23">
        <v>12</v>
      </c>
      <c r="J150" s="23">
        <v>12</v>
      </c>
      <c r="K150" s="23">
        <v>12</v>
      </c>
      <c r="L150" s="23">
        <v>12</v>
      </c>
      <c r="M150" s="23">
        <v>12</v>
      </c>
      <c r="N150" s="23">
        <v>12</v>
      </c>
      <c r="O150" s="23">
        <v>12</v>
      </c>
      <c r="P150" s="23">
        <v>12</v>
      </c>
      <c r="Q150" s="23">
        <v>12</v>
      </c>
    </row>
    <row r="151" spans="1:17" s="24" customFormat="1" ht="17.25" customHeight="1">
      <c r="A151" s="22" t="s">
        <v>276</v>
      </c>
      <c r="B151" s="23">
        <v>1.74</v>
      </c>
      <c r="J151" s="23">
        <v>1.74</v>
      </c>
      <c r="K151" s="23">
        <v>1.74</v>
      </c>
      <c r="L151" s="23">
        <v>1.74</v>
      </c>
      <c r="M151" s="23">
        <v>1.74</v>
      </c>
      <c r="N151" s="23">
        <v>1.74</v>
      </c>
      <c r="O151" s="23">
        <v>1.74</v>
      </c>
      <c r="P151" s="23">
        <v>1.74</v>
      </c>
      <c r="Q151" s="23">
        <v>1.74</v>
      </c>
    </row>
    <row r="152" spans="1:17" s="24" customFormat="1" ht="20.25" customHeight="1">
      <c r="A152" s="22" t="s">
        <v>277</v>
      </c>
      <c r="B152" s="23">
        <v>1.86</v>
      </c>
      <c r="J152" s="23">
        <v>1.86</v>
      </c>
      <c r="K152" s="23">
        <v>1.86</v>
      </c>
      <c r="L152" s="23">
        <v>1.86</v>
      </c>
      <c r="M152" s="23">
        <v>1.86</v>
      </c>
      <c r="N152" s="23">
        <v>1.86</v>
      </c>
      <c r="O152" s="23">
        <v>1.86</v>
      </c>
      <c r="P152" s="23">
        <v>1.86</v>
      </c>
      <c r="Q152" s="23">
        <v>1.86</v>
      </c>
    </row>
    <row r="153" spans="1:17" s="24" customFormat="1" ht="12.75" customHeight="1">
      <c r="A153" s="22" t="s">
        <v>278</v>
      </c>
      <c r="B153" s="23">
        <v>12</v>
      </c>
      <c r="J153" s="23">
        <v>12</v>
      </c>
      <c r="K153" s="23">
        <v>12</v>
      </c>
      <c r="L153" s="23">
        <v>12</v>
      </c>
      <c r="M153" s="23">
        <v>12</v>
      </c>
      <c r="N153" s="23">
        <v>12</v>
      </c>
      <c r="O153" s="23">
        <v>12</v>
      </c>
      <c r="P153" s="23">
        <v>12</v>
      </c>
      <c r="Q153" s="23">
        <v>12</v>
      </c>
    </row>
    <row r="154" spans="1:17" s="24" customFormat="1" ht="12.75" customHeight="1">
      <c r="A154" s="22" t="s">
        <v>279</v>
      </c>
      <c r="B154" s="23">
        <v>1.74</v>
      </c>
      <c r="J154" s="23">
        <v>1.74</v>
      </c>
      <c r="K154" s="23">
        <v>1.74</v>
      </c>
      <c r="L154" s="23">
        <v>1.74</v>
      </c>
      <c r="M154" s="23">
        <v>1.74</v>
      </c>
      <c r="N154" s="23">
        <v>1.74</v>
      </c>
      <c r="O154" s="23">
        <v>1.74</v>
      </c>
      <c r="P154" s="23">
        <v>1.74</v>
      </c>
      <c r="Q154" s="23">
        <v>1.74</v>
      </c>
    </row>
    <row r="155" spans="1:17" s="24" customFormat="1" ht="12.75" customHeight="1">
      <c r="A155" s="22" t="s">
        <v>280</v>
      </c>
      <c r="B155" s="23">
        <v>1.74</v>
      </c>
      <c r="J155" s="23">
        <v>1.74</v>
      </c>
      <c r="K155" s="23">
        <v>1.74</v>
      </c>
      <c r="L155" s="23">
        <v>1.74</v>
      </c>
      <c r="M155" s="23">
        <v>1.74</v>
      </c>
      <c r="N155" s="23">
        <v>1.74</v>
      </c>
      <c r="O155" s="23">
        <v>1.74</v>
      </c>
      <c r="P155" s="23">
        <v>1.74</v>
      </c>
      <c r="Q155" s="23">
        <v>1.74</v>
      </c>
    </row>
    <row r="156" spans="1:17" s="24" customFormat="1" ht="12.75" customHeight="1">
      <c r="A156" s="22" t="s">
        <v>281</v>
      </c>
      <c r="B156" s="23">
        <v>2.59</v>
      </c>
      <c r="J156" s="23">
        <v>2.59</v>
      </c>
      <c r="K156" s="23">
        <v>2.59</v>
      </c>
      <c r="L156" s="23">
        <v>2.59</v>
      </c>
      <c r="M156" s="23">
        <v>2.59</v>
      </c>
      <c r="N156" s="23">
        <v>2.59</v>
      </c>
      <c r="O156" s="23">
        <v>2.59</v>
      </c>
      <c r="P156" s="23">
        <v>2.59</v>
      </c>
      <c r="Q156" s="23">
        <v>2.59</v>
      </c>
    </row>
    <row r="157" spans="1:17" s="24" customFormat="1" ht="12.75" customHeight="1">
      <c r="A157" s="22" t="s">
        <v>282</v>
      </c>
      <c r="B157" s="23">
        <v>2.59</v>
      </c>
      <c r="J157" s="23">
        <v>2.59</v>
      </c>
      <c r="K157" s="23">
        <v>2.59</v>
      </c>
      <c r="L157" s="23">
        <v>2.59</v>
      </c>
      <c r="M157" s="23">
        <v>2.59</v>
      </c>
      <c r="N157" s="23">
        <v>2.59</v>
      </c>
      <c r="O157" s="23">
        <v>2.59</v>
      </c>
      <c r="P157" s="23">
        <v>2.59</v>
      </c>
      <c r="Q157" s="23">
        <v>2.59</v>
      </c>
    </row>
    <row r="158" spans="1:17" s="24" customFormat="1" ht="12.75" customHeight="1">
      <c r="A158" s="22" t="s">
        <v>283</v>
      </c>
      <c r="B158" s="23">
        <v>2.59</v>
      </c>
      <c r="J158" s="23">
        <v>2.59</v>
      </c>
      <c r="K158" s="23">
        <v>2.59</v>
      </c>
      <c r="L158" s="23">
        <v>2.59</v>
      </c>
      <c r="M158" s="23">
        <v>2.59</v>
      </c>
      <c r="N158" s="23">
        <v>2.59</v>
      </c>
      <c r="O158" s="23">
        <v>2.59</v>
      </c>
      <c r="P158" s="23">
        <v>2.59</v>
      </c>
      <c r="Q158" s="23">
        <v>2.59</v>
      </c>
    </row>
    <row r="159" spans="1:17" s="24" customFormat="1" ht="12.75" customHeight="1">
      <c r="A159" s="22" t="s">
        <v>284</v>
      </c>
      <c r="B159" s="23">
        <v>1.74</v>
      </c>
      <c r="J159" s="23">
        <v>1.74</v>
      </c>
      <c r="K159" s="23">
        <v>1.74</v>
      </c>
      <c r="L159" s="23">
        <v>1.74</v>
      </c>
      <c r="M159" s="23">
        <v>1.74</v>
      </c>
      <c r="N159" s="23">
        <v>1.74</v>
      </c>
      <c r="O159" s="23">
        <v>1.74</v>
      </c>
      <c r="P159" s="23">
        <v>1.74</v>
      </c>
      <c r="Q159" s="23">
        <v>1.74</v>
      </c>
    </row>
    <row r="160" spans="1:17" s="24" customFormat="1" ht="12.75" customHeight="1">
      <c r="A160" s="22" t="s">
        <v>285</v>
      </c>
      <c r="B160" s="23">
        <v>2.12</v>
      </c>
      <c r="J160" s="23">
        <v>2.12</v>
      </c>
      <c r="K160" s="23">
        <v>2.12</v>
      </c>
      <c r="L160" s="23">
        <v>2.12</v>
      </c>
      <c r="M160" s="23">
        <v>2.12</v>
      </c>
      <c r="N160" s="23">
        <v>2.12</v>
      </c>
      <c r="O160" s="23">
        <v>2.12</v>
      </c>
      <c r="P160" s="23">
        <v>2.12</v>
      </c>
      <c r="Q160" s="23">
        <v>2.12</v>
      </c>
    </row>
    <row r="161" spans="1:17" s="24" customFormat="1" ht="12.75" customHeight="1">
      <c r="A161" s="22" t="s">
        <v>286</v>
      </c>
      <c r="B161" s="23">
        <v>2.12</v>
      </c>
      <c r="J161" s="23">
        <v>2.12</v>
      </c>
      <c r="K161" s="23">
        <v>2.12</v>
      </c>
      <c r="L161" s="23">
        <v>2.12</v>
      </c>
      <c r="M161" s="23">
        <v>2.12</v>
      </c>
      <c r="N161" s="23">
        <v>2.12</v>
      </c>
      <c r="O161" s="23">
        <v>2.12</v>
      </c>
      <c r="P161" s="23">
        <v>2.12</v>
      </c>
      <c r="Q161" s="23">
        <v>2.12</v>
      </c>
    </row>
    <row r="162" spans="1:17" s="24" customFormat="1" ht="12.75" customHeight="1">
      <c r="A162" s="22" t="s">
        <v>287</v>
      </c>
      <c r="B162" s="23">
        <v>1.74</v>
      </c>
      <c r="J162" s="23">
        <v>1.74</v>
      </c>
      <c r="K162" s="23">
        <v>1.74</v>
      </c>
      <c r="L162" s="23">
        <v>1.74</v>
      </c>
      <c r="M162" s="23">
        <v>1.74</v>
      </c>
      <c r="N162" s="23">
        <v>1.74</v>
      </c>
      <c r="O162" s="23">
        <v>1.74</v>
      </c>
      <c r="P162" s="23">
        <v>1.74</v>
      </c>
      <c r="Q162" s="23">
        <v>1.74</v>
      </c>
    </row>
    <row r="163" spans="1:17" s="24" customFormat="1" ht="12.75" customHeight="1">
      <c r="A163" s="22" t="s">
        <v>288</v>
      </c>
      <c r="B163" s="23">
        <v>2.59</v>
      </c>
      <c r="J163" s="23">
        <v>2.59</v>
      </c>
      <c r="K163" s="23">
        <v>2.59</v>
      </c>
      <c r="L163" s="23">
        <v>2.59</v>
      </c>
      <c r="M163" s="23">
        <v>2.59</v>
      </c>
      <c r="N163" s="23">
        <v>2.59</v>
      </c>
      <c r="O163" s="23">
        <v>2.59</v>
      </c>
      <c r="P163" s="23">
        <v>2.59</v>
      </c>
      <c r="Q163" s="23">
        <v>2.59</v>
      </c>
    </row>
    <row r="164" spans="1:17" s="24" customFormat="1" ht="12.75" customHeight="1">
      <c r="A164" s="22" t="s">
        <v>289</v>
      </c>
      <c r="B164" s="23">
        <v>2.12</v>
      </c>
      <c r="J164" s="23">
        <v>2.12</v>
      </c>
      <c r="K164" s="23">
        <v>2.12</v>
      </c>
      <c r="L164" s="23">
        <v>2.12</v>
      </c>
      <c r="M164" s="23">
        <v>2.12</v>
      </c>
      <c r="N164" s="23">
        <v>2.12</v>
      </c>
      <c r="O164" s="23">
        <v>2.12</v>
      </c>
      <c r="P164" s="23">
        <v>2.12</v>
      </c>
      <c r="Q164" s="23">
        <v>2.12</v>
      </c>
    </row>
    <row r="165" spans="1:17" s="24" customFormat="1" ht="12.75" customHeight="1">
      <c r="A165" s="22" t="s">
        <v>290</v>
      </c>
      <c r="B165" s="23">
        <v>2.23</v>
      </c>
      <c r="J165" s="23">
        <v>2.23</v>
      </c>
      <c r="K165" s="23">
        <v>2.23</v>
      </c>
      <c r="L165" s="23">
        <v>2.23</v>
      </c>
      <c r="M165" s="23">
        <v>2.23</v>
      </c>
      <c r="N165" s="23">
        <v>2.23</v>
      </c>
      <c r="O165" s="23">
        <v>2.23</v>
      </c>
      <c r="P165" s="23">
        <v>2.23</v>
      </c>
      <c r="Q165" s="23">
        <v>2.23</v>
      </c>
    </row>
    <row r="166" spans="1:17" s="24" customFormat="1" ht="12.75" customHeight="1">
      <c r="A166" s="22" t="s">
        <v>291</v>
      </c>
      <c r="B166" s="23">
        <v>2.12</v>
      </c>
      <c r="J166" s="23">
        <v>2.12</v>
      </c>
      <c r="K166" s="23">
        <v>2.12</v>
      </c>
      <c r="L166" s="23">
        <v>2.12</v>
      </c>
      <c r="M166" s="23">
        <v>2.12</v>
      </c>
      <c r="N166" s="23">
        <v>2.12</v>
      </c>
      <c r="O166" s="23">
        <v>2.12</v>
      </c>
      <c r="P166" s="23">
        <v>2.12</v>
      </c>
      <c r="Q166" s="23">
        <v>2.12</v>
      </c>
    </row>
    <row r="167" spans="1:17" s="24" customFormat="1" ht="12.75" customHeight="1">
      <c r="A167" s="22" t="s">
        <v>292</v>
      </c>
      <c r="B167" s="23">
        <v>1.74</v>
      </c>
      <c r="J167" s="23">
        <v>1.74</v>
      </c>
      <c r="K167" s="23">
        <v>1.74</v>
      </c>
      <c r="L167" s="23">
        <v>1.74</v>
      </c>
      <c r="M167" s="23">
        <v>1.74</v>
      </c>
      <c r="N167" s="23">
        <v>1.74</v>
      </c>
      <c r="O167" s="23">
        <v>1.74</v>
      </c>
      <c r="P167" s="23">
        <v>1.74</v>
      </c>
      <c r="Q167" s="23">
        <v>1.74</v>
      </c>
    </row>
    <row r="168" spans="1:17" s="24" customFormat="1" ht="12.75" customHeight="1">
      <c r="A168" s="22" t="s">
        <v>293</v>
      </c>
      <c r="B168" s="23">
        <v>2.12</v>
      </c>
      <c r="J168" s="23">
        <v>2.12</v>
      </c>
      <c r="K168" s="23">
        <v>2.12</v>
      </c>
      <c r="L168" s="23">
        <v>2.12</v>
      </c>
      <c r="M168" s="23">
        <v>2.12</v>
      </c>
      <c r="N168" s="23">
        <v>2.12</v>
      </c>
      <c r="O168" s="23">
        <v>2.12</v>
      </c>
      <c r="P168" s="23">
        <v>2.12</v>
      </c>
      <c r="Q168" s="23">
        <v>2.12</v>
      </c>
    </row>
    <row r="169" spans="1:17" s="24" customFormat="1" ht="12.75" customHeight="1">
      <c r="A169" s="22" t="s">
        <v>294</v>
      </c>
      <c r="B169" s="23">
        <v>1.74</v>
      </c>
      <c r="J169" s="23">
        <v>1.74</v>
      </c>
      <c r="K169" s="23">
        <v>1.74</v>
      </c>
      <c r="L169" s="23">
        <v>1.74</v>
      </c>
      <c r="M169" s="23">
        <v>1.74</v>
      </c>
      <c r="N169" s="23">
        <v>1.74</v>
      </c>
      <c r="O169" s="23">
        <v>1.74</v>
      </c>
      <c r="P169" s="23">
        <v>1.74</v>
      </c>
      <c r="Q169" s="23">
        <v>1.74</v>
      </c>
    </row>
    <row r="170" spans="1:17" s="24" customFormat="1" ht="12.75" customHeight="1">
      <c r="A170" s="22" t="s">
        <v>295</v>
      </c>
      <c r="B170" s="23">
        <v>1.74</v>
      </c>
      <c r="J170" s="23">
        <v>1.74</v>
      </c>
      <c r="K170" s="23">
        <v>1.74</v>
      </c>
      <c r="L170" s="23">
        <v>1.74</v>
      </c>
      <c r="M170" s="23">
        <v>1.74</v>
      </c>
      <c r="N170" s="23">
        <v>1.74</v>
      </c>
      <c r="O170" s="23">
        <v>1.74</v>
      </c>
      <c r="P170" s="23">
        <v>1.74</v>
      </c>
      <c r="Q170" s="23">
        <v>1.74</v>
      </c>
    </row>
    <row r="171" spans="1:17" s="24" customFormat="1" ht="12.75" customHeight="1">
      <c r="A171" s="22" t="s">
        <v>296</v>
      </c>
      <c r="B171" s="23">
        <v>1.74</v>
      </c>
      <c r="J171" s="23">
        <v>1.74</v>
      </c>
      <c r="K171" s="23">
        <v>1.74</v>
      </c>
      <c r="L171" s="23">
        <v>1.74</v>
      </c>
      <c r="M171" s="23">
        <v>1.74</v>
      </c>
      <c r="N171" s="23">
        <v>1.74</v>
      </c>
      <c r="O171" s="23">
        <v>1.74</v>
      </c>
      <c r="P171" s="23">
        <v>1.74</v>
      </c>
      <c r="Q171" s="23">
        <v>1.74</v>
      </c>
    </row>
    <row r="172" spans="1:17" s="24" customFormat="1" ht="12.75" customHeight="1">
      <c r="A172" s="22" t="s">
        <v>297</v>
      </c>
      <c r="B172" s="23">
        <v>2.12</v>
      </c>
      <c r="J172" s="23">
        <v>2.12</v>
      </c>
      <c r="K172" s="23">
        <v>2.12</v>
      </c>
      <c r="L172" s="23">
        <v>2.12</v>
      </c>
      <c r="M172" s="23">
        <v>2.12</v>
      </c>
      <c r="N172" s="23">
        <v>2.12</v>
      </c>
      <c r="O172" s="23">
        <v>2.12</v>
      </c>
      <c r="P172" s="23">
        <v>2.12</v>
      </c>
      <c r="Q172" s="23">
        <v>2.12</v>
      </c>
    </row>
    <row r="173" spans="1:17" s="24" customFormat="1" ht="12.75" customHeight="1">
      <c r="A173" s="22" t="s">
        <v>298</v>
      </c>
      <c r="B173" s="23">
        <v>1.86</v>
      </c>
      <c r="J173" s="23">
        <v>1.86</v>
      </c>
      <c r="K173" s="23">
        <v>1.86</v>
      </c>
      <c r="L173" s="23">
        <v>1.86</v>
      </c>
      <c r="M173" s="23">
        <v>1.86</v>
      </c>
      <c r="N173" s="23">
        <v>1.86</v>
      </c>
      <c r="O173" s="23">
        <v>1.86</v>
      </c>
      <c r="P173" s="23">
        <v>1.86</v>
      </c>
      <c r="Q173" s="23">
        <v>1.86</v>
      </c>
    </row>
    <row r="174" spans="1:17" s="24" customFormat="1" ht="12.75" customHeight="1">
      <c r="A174" s="22" t="s">
        <v>299</v>
      </c>
      <c r="B174" s="25">
        <v>1.5</v>
      </c>
      <c r="J174" s="25">
        <v>1.5</v>
      </c>
      <c r="K174" s="25">
        <v>1.5</v>
      </c>
      <c r="L174" s="25">
        <v>1.5</v>
      </c>
      <c r="M174" s="25">
        <v>1.5</v>
      </c>
      <c r="N174" s="25">
        <v>1.5</v>
      </c>
      <c r="O174" s="25">
        <v>1.5</v>
      </c>
      <c r="P174" s="25">
        <v>1.5</v>
      </c>
      <c r="Q174" s="25">
        <v>1.5</v>
      </c>
    </row>
    <row r="175" spans="1:17" s="24" customFormat="1" ht="12.75" customHeight="1">
      <c r="A175" s="22" t="s">
        <v>300</v>
      </c>
      <c r="B175" s="23">
        <v>2.23</v>
      </c>
      <c r="J175" s="23">
        <v>2.23</v>
      </c>
      <c r="K175" s="23">
        <v>2.23</v>
      </c>
      <c r="L175" s="23">
        <v>2.23</v>
      </c>
      <c r="M175" s="23">
        <v>2.23</v>
      </c>
      <c r="N175" s="23">
        <v>2.23</v>
      </c>
      <c r="O175" s="23">
        <v>2.23</v>
      </c>
      <c r="P175" s="23">
        <v>2.23</v>
      </c>
      <c r="Q175" s="23">
        <v>2.23</v>
      </c>
    </row>
    <row r="176" spans="1:17" s="24" customFormat="1" ht="12.75" customHeight="1">
      <c r="A176" s="22" t="s">
        <v>301</v>
      </c>
      <c r="B176" s="23">
        <v>2.12</v>
      </c>
      <c r="J176" s="23">
        <v>2.12</v>
      </c>
      <c r="K176" s="23">
        <v>2.12</v>
      </c>
      <c r="L176" s="23">
        <v>2.12</v>
      </c>
      <c r="M176" s="23">
        <v>2.12</v>
      </c>
      <c r="N176" s="23">
        <v>2.12</v>
      </c>
      <c r="O176" s="23">
        <v>2.12</v>
      </c>
      <c r="P176" s="23">
        <v>2.12</v>
      </c>
      <c r="Q176" s="23">
        <v>2.12</v>
      </c>
    </row>
    <row r="177" spans="1:17" s="24" customFormat="1" ht="12.75" customHeight="1">
      <c r="A177" s="22" t="s">
        <v>302</v>
      </c>
      <c r="B177" s="23">
        <v>1.74</v>
      </c>
      <c r="J177" s="23">
        <v>1.74</v>
      </c>
      <c r="K177" s="23">
        <v>1.74</v>
      </c>
      <c r="L177" s="23">
        <v>1.74</v>
      </c>
      <c r="M177" s="23">
        <v>1.74</v>
      </c>
      <c r="N177" s="23">
        <v>1.74</v>
      </c>
      <c r="O177" s="23">
        <v>1.74</v>
      </c>
      <c r="P177" s="23">
        <v>1.74</v>
      </c>
      <c r="Q177" s="23">
        <v>1.74</v>
      </c>
    </row>
    <row r="178" spans="1:17" s="24" customFormat="1" ht="12.75" customHeight="1">
      <c r="A178" s="22" t="s">
        <v>303</v>
      </c>
      <c r="B178" s="23">
        <v>2.59</v>
      </c>
      <c r="J178" s="23">
        <v>2.59</v>
      </c>
      <c r="K178" s="23">
        <v>2.59</v>
      </c>
      <c r="L178" s="23">
        <v>2.59</v>
      </c>
      <c r="M178" s="23">
        <v>2.59</v>
      </c>
      <c r="N178" s="23">
        <v>2.59</v>
      </c>
      <c r="O178" s="23">
        <v>2.59</v>
      </c>
      <c r="P178" s="23">
        <v>2.59</v>
      </c>
      <c r="Q178" s="23">
        <v>2.59</v>
      </c>
    </row>
    <row r="179" spans="1:17" s="24" customFormat="1" ht="12.75" customHeight="1">
      <c r="A179" s="22" t="s">
        <v>304</v>
      </c>
      <c r="B179" s="23">
        <v>1.74</v>
      </c>
      <c r="J179" s="23">
        <v>1.74</v>
      </c>
      <c r="K179" s="23">
        <v>1.74</v>
      </c>
      <c r="L179" s="23">
        <v>1.74</v>
      </c>
      <c r="M179" s="23">
        <v>1.74</v>
      </c>
      <c r="N179" s="23">
        <v>1.74</v>
      </c>
      <c r="O179" s="23">
        <v>1.74</v>
      </c>
      <c r="P179" s="23">
        <v>1.74</v>
      </c>
      <c r="Q179" s="23">
        <v>1.74</v>
      </c>
    </row>
    <row r="180" spans="1:17" s="24" customFormat="1" ht="12.75" customHeight="1">
      <c r="A180" s="22" t="s">
        <v>305</v>
      </c>
      <c r="B180" s="23">
        <v>1.74</v>
      </c>
      <c r="J180" s="23">
        <v>1.74</v>
      </c>
      <c r="K180" s="23">
        <v>1.74</v>
      </c>
      <c r="L180" s="23">
        <v>1.74</v>
      </c>
      <c r="M180" s="23">
        <v>1.74</v>
      </c>
      <c r="N180" s="23">
        <v>1.74</v>
      </c>
      <c r="O180" s="23">
        <v>1.74</v>
      </c>
      <c r="P180" s="23">
        <v>1.74</v>
      </c>
      <c r="Q180" s="23">
        <v>1.74</v>
      </c>
    </row>
    <row r="181" spans="1:17" s="24" customFormat="1" ht="12.75" customHeight="1">
      <c r="A181" s="22" t="s">
        <v>306</v>
      </c>
      <c r="B181" s="23">
        <v>1.74</v>
      </c>
      <c r="J181" s="23">
        <v>1.74</v>
      </c>
      <c r="K181" s="23">
        <v>1.74</v>
      </c>
      <c r="L181" s="23">
        <v>1.74</v>
      </c>
      <c r="M181" s="23">
        <v>1.74</v>
      </c>
      <c r="N181" s="23">
        <v>1.74</v>
      </c>
      <c r="O181" s="23">
        <v>1.74</v>
      </c>
      <c r="P181" s="23">
        <v>1.74</v>
      </c>
      <c r="Q181" s="23">
        <v>1.74</v>
      </c>
    </row>
    <row r="182" spans="1:17" s="24" customFormat="1" ht="12.75" customHeight="1">
      <c r="A182" s="22" t="s">
        <v>307</v>
      </c>
      <c r="B182" s="23">
        <v>1.21</v>
      </c>
      <c r="J182" s="23">
        <v>1.21</v>
      </c>
      <c r="K182" s="23">
        <v>1.21</v>
      </c>
      <c r="L182" s="23">
        <v>1.21</v>
      </c>
      <c r="M182" s="23">
        <v>1.21</v>
      </c>
      <c r="N182" s="23">
        <v>1.21</v>
      </c>
      <c r="O182" s="23">
        <v>1.21</v>
      </c>
      <c r="P182" s="23">
        <v>1.21</v>
      </c>
      <c r="Q182" s="23">
        <v>1.21</v>
      </c>
    </row>
    <row r="183" spans="1:17" s="24" customFormat="1" ht="12.75" customHeight="1">
      <c r="A183" s="22" t="s">
        <v>308</v>
      </c>
      <c r="B183" s="23">
        <v>1.21</v>
      </c>
      <c r="J183" s="23">
        <v>1.21</v>
      </c>
      <c r="K183" s="23">
        <v>1.21</v>
      </c>
      <c r="L183" s="23">
        <v>1.21</v>
      </c>
      <c r="M183" s="23">
        <v>1.21</v>
      </c>
      <c r="N183" s="23">
        <v>1.21</v>
      </c>
      <c r="O183" s="23">
        <v>1.21</v>
      </c>
      <c r="P183" s="23">
        <v>1.21</v>
      </c>
      <c r="Q183" s="23">
        <v>1.21</v>
      </c>
    </row>
    <row r="184" spans="1:17" s="24" customFormat="1" ht="12.75" customHeight="1">
      <c r="A184" s="22" t="s">
        <v>309</v>
      </c>
      <c r="B184" s="23">
        <v>1.21</v>
      </c>
      <c r="J184" s="23">
        <v>1.21</v>
      </c>
      <c r="K184" s="23">
        <v>1.21</v>
      </c>
      <c r="L184" s="23">
        <v>1.21</v>
      </c>
      <c r="M184" s="23">
        <v>1.21</v>
      </c>
      <c r="N184" s="23">
        <v>1.21</v>
      </c>
      <c r="O184" s="23">
        <v>1.21</v>
      </c>
      <c r="P184" s="23">
        <v>1.21</v>
      </c>
      <c r="Q184" s="23">
        <v>1.21</v>
      </c>
    </row>
    <row r="185" spans="1:17" s="24" customFormat="1" ht="12.75" customHeight="1">
      <c r="A185" s="22" t="s">
        <v>310</v>
      </c>
      <c r="B185" s="23">
        <v>1.74</v>
      </c>
      <c r="J185" s="23">
        <v>1.74</v>
      </c>
      <c r="K185" s="23">
        <v>1.74</v>
      </c>
      <c r="L185" s="23">
        <v>1.74</v>
      </c>
      <c r="M185" s="23">
        <v>1.74</v>
      </c>
      <c r="N185" s="23">
        <v>1.74</v>
      </c>
      <c r="O185" s="23">
        <v>1.74</v>
      </c>
      <c r="P185" s="23">
        <v>1.74</v>
      </c>
      <c r="Q185" s="23">
        <v>1.74</v>
      </c>
    </row>
    <row r="186" spans="1:17" s="24" customFormat="1" ht="12.75" customHeight="1">
      <c r="A186" s="22" t="s">
        <v>311</v>
      </c>
      <c r="B186" s="23">
        <v>1.86</v>
      </c>
      <c r="J186" s="23">
        <v>1.86</v>
      </c>
      <c r="K186" s="23">
        <v>1.86</v>
      </c>
      <c r="L186" s="23">
        <v>1.86</v>
      </c>
      <c r="M186" s="23">
        <v>1.86</v>
      </c>
      <c r="N186" s="23">
        <v>1.86</v>
      </c>
      <c r="O186" s="23">
        <v>1.86</v>
      </c>
      <c r="P186" s="23">
        <v>1.86</v>
      </c>
      <c r="Q186" s="23">
        <v>1.86</v>
      </c>
    </row>
    <row r="187" spans="1:17" s="24" customFormat="1" ht="12.75" customHeight="1">
      <c r="A187" s="22" t="s">
        <v>312</v>
      </c>
      <c r="B187" s="23">
        <v>2.23</v>
      </c>
      <c r="J187" s="23">
        <v>2.23</v>
      </c>
      <c r="K187" s="23">
        <v>2.23</v>
      </c>
      <c r="L187" s="23">
        <v>2.23</v>
      </c>
      <c r="M187" s="23">
        <v>2.23</v>
      </c>
      <c r="N187" s="23">
        <v>2.23</v>
      </c>
      <c r="O187" s="23">
        <v>2.23</v>
      </c>
      <c r="P187" s="23">
        <v>2.23</v>
      </c>
      <c r="Q187" s="23">
        <v>2.23</v>
      </c>
    </row>
    <row r="188" spans="1:17" s="24" customFormat="1" ht="12.75" customHeight="1">
      <c r="A188" s="22" t="s">
        <v>313</v>
      </c>
      <c r="B188" s="23">
        <v>1.86</v>
      </c>
      <c r="J188" s="23">
        <v>1.86</v>
      </c>
      <c r="K188" s="23">
        <v>1.86</v>
      </c>
      <c r="L188" s="23">
        <v>1.86</v>
      </c>
      <c r="M188" s="23">
        <v>1.86</v>
      </c>
      <c r="N188" s="23">
        <v>1.86</v>
      </c>
      <c r="O188" s="23">
        <v>1.86</v>
      </c>
      <c r="P188" s="23">
        <v>1.86</v>
      </c>
      <c r="Q188" s="23">
        <v>1.86</v>
      </c>
    </row>
    <row r="189" spans="1:17" s="24" customFormat="1" ht="12.75" customHeight="1">
      <c r="A189" s="22" t="s">
        <v>314</v>
      </c>
      <c r="B189" s="23">
        <v>2.59</v>
      </c>
      <c r="J189" s="23">
        <v>2.59</v>
      </c>
      <c r="K189" s="23">
        <v>2.59</v>
      </c>
      <c r="L189" s="23">
        <v>2.59</v>
      </c>
      <c r="M189" s="23">
        <v>2.59</v>
      </c>
      <c r="N189" s="23">
        <v>2.59</v>
      </c>
      <c r="O189" s="23">
        <v>2.59</v>
      </c>
      <c r="P189" s="23">
        <v>2.59</v>
      </c>
      <c r="Q189" s="23">
        <v>2.59</v>
      </c>
    </row>
    <row r="190" spans="1:17" s="24" customFormat="1" ht="12.75" customHeight="1">
      <c r="A190" s="22" t="s">
        <v>315</v>
      </c>
      <c r="B190" s="23">
        <v>1.86</v>
      </c>
      <c r="J190" s="23">
        <v>1.86</v>
      </c>
      <c r="K190" s="23">
        <v>1.86</v>
      </c>
      <c r="L190" s="23">
        <v>1.86</v>
      </c>
      <c r="M190" s="23">
        <v>1.86</v>
      </c>
      <c r="N190" s="23">
        <v>1.86</v>
      </c>
      <c r="O190" s="23">
        <v>1.86</v>
      </c>
      <c r="P190" s="23">
        <v>1.86</v>
      </c>
      <c r="Q190" s="23">
        <v>1.86</v>
      </c>
    </row>
    <row r="191" spans="1:17" s="24" customFormat="1" ht="12.75" customHeight="1">
      <c r="A191" s="22" t="s">
        <v>316</v>
      </c>
      <c r="B191" s="23">
        <v>2.12</v>
      </c>
      <c r="J191" s="23">
        <v>2.12</v>
      </c>
      <c r="K191" s="23">
        <v>2.12</v>
      </c>
      <c r="L191" s="23">
        <v>2.12</v>
      </c>
      <c r="M191" s="23">
        <v>2.12</v>
      </c>
      <c r="N191" s="23">
        <v>2.12</v>
      </c>
      <c r="O191" s="23">
        <v>2.12</v>
      </c>
      <c r="P191" s="23">
        <v>2.12</v>
      </c>
      <c r="Q191" s="23">
        <v>2.12</v>
      </c>
    </row>
    <row r="192" spans="1:17" s="24" customFormat="1" ht="12.75" customHeight="1">
      <c r="A192" s="22" t="s">
        <v>317</v>
      </c>
      <c r="B192" s="23">
        <v>1.74</v>
      </c>
      <c r="J192" s="23">
        <v>1.74</v>
      </c>
      <c r="K192" s="23">
        <v>1.74</v>
      </c>
      <c r="L192" s="23">
        <v>1.74</v>
      </c>
      <c r="M192" s="23">
        <v>1.74</v>
      </c>
      <c r="N192" s="23">
        <v>1.74</v>
      </c>
      <c r="O192" s="23">
        <v>1.74</v>
      </c>
      <c r="P192" s="23">
        <v>1.74</v>
      </c>
      <c r="Q192" s="23">
        <v>1.74</v>
      </c>
    </row>
    <row r="193" spans="1:17" s="24" customFormat="1" ht="12.75" customHeight="1">
      <c r="A193" s="22" t="s">
        <v>318</v>
      </c>
      <c r="B193" s="23">
        <v>2.23</v>
      </c>
      <c r="J193" s="23">
        <v>2.23</v>
      </c>
      <c r="K193" s="23">
        <v>2.23</v>
      </c>
      <c r="L193" s="23">
        <v>2.23</v>
      </c>
      <c r="M193" s="23">
        <v>2.23</v>
      </c>
      <c r="N193" s="23">
        <v>2.23</v>
      </c>
      <c r="O193" s="23">
        <v>2.23</v>
      </c>
      <c r="P193" s="23">
        <v>2.23</v>
      </c>
      <c r="Q193" s="23">
        <v>2.23</v>
      </c>
    </row>
    <row r="194" spans="1:17" s="24" customFormat="1" ht="12.75" customHeight="1">
      <c r="A194" s="22" t="s">
        <v>319</v>
      </c>
      <c r="B194" s="23">
        <v>2.59</v>
      </c>
      <c r="J194" s="23">
        <v>2.59</v>
      </c>
      <c r="K194" s="23">
        <v>2.59</v>
      </c>
      <c r="L194" s="23">
        <v>2.59</v>
      </c>
      <c r="M194" s="23">
        <v>2.59</v>
      </c>
      <c r="N194" s="23">
        <v>2.59</v>
      </c>
      <c r="O194" s="23">
        <v>2.59</v>
      </c>
      <c r="P194" s="23">
        <v>2.59</v>
      </c>
      <c r="Q194" s="23">
        <v>2.59</v>
      </c>
    </row>
    <row r="195" spans="1:17" s="24" customFormat="1" ht="12.75" customHeight="1">
      <c r="A195" s="22" t="s">
        <v>320</v>
      </c>
      <c r="B195" s="23">
        <v>1.86</v>
      </c>
      <c r="J195" s="23">
        <v>1.86</v>
      </c>
      <c r="K195" s="23">
        <v>1.86</v>
      </c>
      <c r="L195" s="23">
        <v>1.86</v>
      </c>
      <c r="M195" s="23">
        <v>1.86</v>
      </c>
      <c r="N195" s="23">
        <v>1.86</v>
      </c>
      <c r="O195" s="23">
        <v>1.86</v>
      </c>
      <c r="P195" s="23">
        <v>1.86</v>
      </c>
      <c r="Q195" s="23">
        <v>1.86</v>
      </c>
    </row>
    <row r="196" spans="1:17" s="24" customFormat="1" ht="12.75" customHeight="1">
      <c r="A196" s="22" t="s">
        <v>321</v>
      </c>
      <c r="B196" s="23">
        <v>1.47</v>
      </c>
      <c r="J196" s="23">
        <v>1.47</v>
      </c>
      <c r="K196" s="23">
        <v>1.47</v>
      </c>
      <c r="L196" s="23">
        <v>1.47</v>
      </c>
      <c r="M196" s="23">
        <v>1.47</v>
      </c>
      <c r="N196" s="23">
        <v>1.47</v>
      </c>
      <c r="O196" s="23">
        <v>1.47</v>
      </c>
      <c r="P196" s="23">
        <v>1.47</v>
      </c>
      <c r="Q196" s="23">
        <v>1.47</v>
      </c>
    </row>
    <row r="197" spans="1:17" s="24" customFormat="1" ht="12.75" customHeight="1">
      <c r="A197" s="22" t="s">
        <v>322</v>
      </c>
      <c r="B197" s="23">
        <v>1.86</v>
      </c>
      <c r="J197" s="23">
        <v>1.86</v>
      </c>
      <c r="K197" s="23">
        <v>1.86</v>
      </c>
      <c r="L197" s="23">
        <v>1.86</v>
      </c>
      <c r="M197" s="23">
        <v>1.86</v>
      </c>
      <c r="N197" s="23">
        <v>1.86</v>
      </c>
      <c r="O197" s="23">
        <v>1.86</v>
      </c>
      <c r="P197" s="23">
        <v>1.86</v>
      </c>
      <c r="Q197" s="23">
        <v>1.86</v>
      </c>
    </row>
    <row r="198" spans="1:17" s="24" customFormat="1" ht="12.75" customHeight="1">
      <c r="A198" s="22" t="s">
        <v>323</v>
      </c>
      <c r="B198" s="23">
        <v>1.47</v>
      </c>
      <c r="J198" s="23">
        <v>1.47</v>
      </c>
      <c r="K198" s="23">
        <v>1.47</v>
      </c>
      <c r="L198" s="23">
        <v>1.47</v>
      </c>
      <c r="M198" s="23">
        <v>1.47</v>
      </c>
      <c r="N198" s="23">
        <v>1.47</v>
      </c>
      <c r="O198" s="23">
        <v>1.47</v>
      </c>
      <c r="P198" s="23">
        <v>1.47</v>
      </c>
      <c r="Q198" s="23">
        <v>1.47</v>
      </c>
    </row>
    <row r="199" spans="1:17" s="24" customFormat="1" ht="12.75" customHeight="1">
      <c r="A199" s="22" t="s">
        <v>324</v>
      </c>
      <c r="B199" s="23">
        <v>2.12</v>
      </c>
      <c r="J199" s="23">
        <v>2.12</v>
      </c>
      <c r="K199" s="23">
        <v>2.12</v>
      </c>
      <c r="L199" s="23">
        <v>2.12</v>
      </c>
      <c r="M199" s="23">
        <v>2.12</v>
      </c>
      <c r="N199" s="23">
        <v>2.12</v>
      </c>
      <c r="O199" s="23">
        <v>2.12</v>
      </c>
      <c r="P199" s="23">
        <v>2.12</v>
      </c>
      <c r="Q199" s="23">
        <v>2.12</v>
      </c>
    </row>
    <row r="200" spans="1:17" s="24" customFormat="1" ht="12.75" customHeight="1">
      <c r="A200" s="22" t="s">
        <v>325</v>
      </c>
      <c r="B200" s="23">
        <v>2.59</v>
      </c>
      <c r="J200" s="23">
        <v>2.59</v>
      </c>
      <c r="K200" s="23">
        <v>2.59</v>
      </c>
      <c r="L200" s="23">
        <v>2.59</v>
      </c>
      <c r="M200" s="23">
        <v>2.59</v>
      </c>
      <c r="N200" s="23">
        <v>2.59</v>
      </c>
      <c r="O200" s="23">
        <v>2.59</v>
      </c>
      <c r="P200" s="23">
        <v>2.59</v>
      </c>
      <c r="Q200" s="23">
        <v>2.59</v>
      </c>
    </row>
    <row r="201" spans="1:17" s="24" customFormat="1" ht="12.75" customHeight="1">
      <c r="A201" s="22" t="s">
        <v>326</v>
      </c>
      <c r="B201" s="23">
        <v>2.12</v>
      </c>
      <c r="J201" s="23">
        <v>2.12</v>
      </c>
      <c r="K201" s="23">
        <v>2.12</v>
      </c>
      <c r="L201" s="23">
        <v>2.12</v>
      </c>
      <c r="M201" s="23">
        <v>2.12</v>
      </c>
      <c r="N201" s="23">
        <v>2.12</v>
      </c>
      <c r="O201" s="23">
        <v>2.12</v>
      </c>
      <c r="P201" s="23">
        <v>2.12</v>
      </c>
      <c r="Q201" s="23">
        <v>2.12</v>
      </c>
    </row>
    <row r="202" spans="1:17" s="24" customFormat="1" ht="12.75" customHeight="1">
      <c r="A202" s="22" t="s">
        <v>327</v>
      </c>
      <c r="B202" s="23">
        <v>1.21</v>
      </c>
      <c r="J202" s="23">
        <v>1.21</v>
      </c>
      <c r="K202" s="23">
        <v>1.21</v>
      </c>
      <c r="L202" s="23">
        <v>1.21</v>
      </c>
      <c r="M202" s="23">
        <v>1.21</v>
      </c>
      <c r="N202" s="23">
        <v>1.21</v>
      </c>
      <c r="O202" s="23">
        <v>1.21</v>
      </c>
      <c r="P202" s="23">
        <v>1.21</v>
      </c>
      <c r="Q202" s="23">
        <v>1.21</v>
      </c>
    </row>
    <row r="203" spans="1:17" s="24" customFormat="1" ht="12.75" customHeight="1">
      <c r="A203" s="22" t="s">
        <v>328</v>
      </c>
      <c r="B203" s="23">
        <v>1.86</v>
      </c>
      <c r="J203" s="23">
        <v>1.86</v>
      </c>
      <c r="K203" s="23">
        <v>1.86</v>
      </c>
      <c r="L203" s="23">
        <v>1.86</v>
      </c>
      <c r="M203" s="23">
        <v>1.86</v>
      </c>
      <c r="N203" s="23">
        <v>1.86</v>
      </c>
      <c r="O203" s="23">
        <v>1.86</v>
      </c>
      <c r="P203" s="23">
        <v>1.86</v>
      </c>
      <c r="Q203" s="23">
        <v>1.86</v>
      </c>
    </row>
    <row r="204" spans="1:17" s="24" customFormat="1" ht="12.75" customHeight="1">
      <c r="A204" s="22" t="s">
        <v>329</v>
      </c>
      <c r="B204" s="23">
        <v>2.12</v>
      </c>
      <c r="J204" s="23">
        <v>2.12</v>
      </c>
      <c r="K204" s="23">
        <v>2.12</v>
      </c>
      <c r="L204" s="23">
        <v>2.12</v>
      </c>
      <c r="M204" s="23">
        <v>2.12</v>
      </c>
      <c r="N204" s="23">
        <v>2.12</v>
      </c>
      <c r="O204" s="23">
        <v>2.12</v>
      </c>
      <c r="P204" s="23">
        <v>2.12</v>
      </c>
      <c r="Q204" s="23">
        <v>2.12</v>
      </c>
    </row>
    <row r="205" spans="1:17" s="24" customFormat="1" ht="12.75" customHeight="1">
      <c r="A205" s="22" t="s">
        <v>330</v>
      </c>
      <c r="B205" s="23">
        <v>2.23</v>
      </c>
      <c r="J205" s="23">
        <v>2.23</v>
      </c>
      <c r="K205" s="23">
        <v>2.23</v>
      </c>
      <c r="L205" s="23">
        <v>2.23</v>
      </c>
      <c r="M205" s="23">
        <v>2.23</v>
      </c>
      <c r="N205" s="23">
        <v>2.23</v>
      </c>
      <c r="O205" s="23">
        <v>2.23</v>
      </c>
      <c r="P205" s="23">
        <v>2.23</v>
      </c>
      <c r="Q205" s="23">
        <v>2.23</v>
      </c>
    </row>
    <row r="206" spans="1:17" s="24" customFormat="1" ht="12.75" customHeight="1">
      <c r="A206" s="22" t="s">
        <v>331</v>
      </c>
      <c r="B206" s="23">
        <v>1.21</v>
      </c>
      <c r="J206" s="23">
        <v>1.21</v>
      </c>
      <c r="K206" s="23">
        <v>1.21</v>
      </c>
      <c r="L206" s="23">
        <v>1.21</v>
      </c>
      <c r="M206" s="23">
        <v>1.21</v>
      </c>
      <c r="N206" s="23">
        <v>1.21</v>
      </c>
      <c r="O206" s="23">
        <v>1.21</v>
      </c>
      <c r="P206" s="23">
        <v>1.21</v>
      </c>
      <c r="Q206" s="23">
        <v>1.21</v>
      </c>
    </row>
    <row r="207" spans="1:17" s="24" customFormat="1" ht="12.75" customHeight="1">
      <c r="A207" s="22" t="s">
        <v>332</v>
      </c>
      <c r="B207" s="23">
        <v>2.12</v>
      </c>
      <c r="J207" s="23">
        <v>2.12</v>
      </c>
      <c r="K207" s="23">
        <v>2.12</v>
      </c>
      <c r="L207" s="23">
        <v>2.12</v>
      </c>
      <c r="M207" s="23">
        <v>2.12</v>
      </c>
      <c r="N207" s="23">
        <v>2.12</v>
      </c>
      <c r="O207" s="23">
        <v>2.12</v>
      </c>
      <c r="P207" s="23">
        <v>2.12</v>
      </c>
      <c r="Q207" s="23">
        <v>2.12</v>
      </c>
    </row>
    <row r="208" spans="1:17" s="24" customFormat="1" ht="12.75" customHeight="1">
      <c r="A208" s="22" t="s">
        <v>333</v>
      </c>
      <c r="B208" s="23">
        <v>1.86</v>
      </c>
      <c r="J208" s="23">
        <v>1.86</v>
      </c>
      <c r="K208" s="23">
        <v>1.86</v>
      </c>
      <c r="L208" s="23">
        <v>1.86</v>
      </c>
      <c r="M208" s="23">
        <v>1.86</v>
      </c>
      <c r="N208" s="23">
        <v>1.86</v>
      </c>
      <c r="O208" s="23">
        <v>1.86</v>
      </c>
      <c r="P208" s="23">
        <v>1.86</v>
      </c>
      <c r="Q208" s="23">
        <v>1.86</v>
      </c>
    </row>
    <row r="209" spans="1:17" s="24" customFormat="1" ht="12.75" customHeight="1">
      <c r="A209" s="22" t="s">
        <v>334</v>
      </c>
      <c r="B209" s="23">
        <v>1.86</v>
      </c>
      <c r="J209" s="23">
        <v>1.86</v>
      </c>
      <c r="K209" s="23">
        <v>1.86</v>
      </c>
      <c r="L209" s="23">
        <v>1.86</v>
      </c>
      <c r="M209" s="23">
        <v>1.86</v>
      </c>
      <c r="N209" s="23">
        <v>1.86</v>
      </c>
      <c r="O209" s="23">
        <v>1.86</v>
      </c>
      <c r="P209" s="23">
        <v>1.86</v>
      </c>
      <c r="Q209" s="23">
        <v>1.86</v>
      </c>
    </row>
    <row r="210" spans="1:17" s="24" customFormat="1" ht="12.75" customHeight="1">
      <c r="A210" s="22" t="s">
        <v>335</v>
      </c>
      <c r="B210" s="23">
        <v>2.23</v>
      </c>
      <c r="J210" s="23">
        <v>2.23</v>
      </c>
      <c r="K210" s="23">
        <v>2.23</v>
      </c>
      <c r="L210" s="23">
        <v>2.23</v>
      </c>
      <c r="M210" s="23">
        <v>2.23</v>
      </c>
      <c r="N210" s="23">
        <v>2.23</v>
      </c>
      <c r="O210" s="23">
        <v>2.23</v>
      </c>
      <c r="P210" s="23">
        <v>2.23</v>
      </c>
      <c r="Q210" s="23">
        <v>2.23</v>
      </c>
    </row>
    <row r="211" spans="1:17" s="24" customFormat="1" ht="12.75" customHeight="1">
      <c r="A211" s="22" t="s">
        <v>336</v>
      </c>
      <c r="B211" s="23">
        <v>12</v>
      </c>
      <c r="J211" s="23">
        <v>12</v>
      </c>
      <c r="K211" s="23">
        <v>12</v>
      </c>
      <c r="L211" s="23">
        <v>12</v>
      </c>
      <c r="M211" s="23">
        <v>12</v>
      </c>
      <c r="N211" s="23">
        <v>12</v>
      </c>
      <c r="O211" s="23">
        <v>12</v>
      </c>
      <c r="P211" s="23">
        <v>12</v>
      </c>
      <c r="Q211" s="23">
        <v>12</v>
      </c>
    </row>
    <row r="212" spans="1:17" s="24" customFormat="1" ht="12.75" customHeight="1">
      <c r="A212" s="22" t="s">
        <v>337</v>
      </c>
      <c r="B212" s="23">
        <v>2.23</v>
      </c>
      <c r="J212" s="23">
        <v>2.23</v>
      </c>
      <c r="K212" s="23">
        <v>2.23</v>
      </c>
      <c r="L212" s="23">
        <v>2.23</v>
      </c>
      <c r="M212" s="23">
        <v>2.23</v>
      </c>
      <c r="N212" s="23">
        <v>2.23</v>
      </c>
      <c r="O212" s="23">
        <v>2.23</v>
      </c>
      <c r="P212" s="23">
        <v>2.23</v>
      </c>
      <c r="Q212" s="23">
        <v>2.23</v>
      </c>
    </row>
    <row r="213" spans="1:17" s="24" customFormat="1" ht="12.75" customHeight="1">
      <c r="A213" s="22" t="s">
        <v>338</v>
      </c>
      <c r="B213" s="23">
        <v>1.21</v>
      </c>
      <c r="J213" s="23">
        <v>1.21</v>
      </c>
      <c r="K213" s="23">
        <v>1.21</v>
      </c>
      <c r="L213" s="23">
        <v>1.21</v>
      </c>
      <c r="M213" s="23">
        <v>1.21</v>
      </c>
      <c r="N213" s="23">
        <v>1.21</v>
      </c>
      <c r="O213" s="23">
        <v>1.21</v>
      </c>
      <c r="P213" s="23">
        <v>1.21</v>
      </c>
      <c r="Q213" s="23">
        <v>1.21</v>
      </c>
    </row>
    <row r="214" spans="1:17" s="24" customFormat="1" ht="12.75" customHeight="1">
      <c r="A214" s="22" t="s">
        <v>339</v>
      </c>
      <c r="B214" s="23">
        <v>1.86</v>
      </c>
      <c r="J214" s="23">
        <v>1.86</v>
      </c>
      <c r="K214" s="23">
        <v>1.86</v>
      </c>
      <c r="L214" s="23">
        <v>1.86</v>
      </c>
      <c r="M214" s="23">
        <v>1.86</v>
      </c>
      <c r="N214" s="23">
        <v>1.86</v>
      </c>
      <c r="O214" s="23">
        <v>1.86</v>
      </c>
      <c r="P214" s="23">
        <v>1.86</v>
      </c>
      <c r="Q214" s="23">
        <v>1.86</v>
      </c>
    </row>
    <row r="215" spans="1:17" s="24" customFormat="1" ht="12.75" customHeight="1">
      <c r="A215" s="22" t="s">
        <v>340</v>
      </c>
      <c r="B215" s="23">
        <v>1.47</v>
      </c>
      <c r="J215" s="23">
        <v>1.47</v>
      </c>
      <c r="K215" s="23">
        <v>1.47</v>
      </c>
      <c r="L215" s="23">
        <v>1.47</v>
      </c>
      <c r="M215" s="23">
        <v>1.47</v>
      </c>
      <c r="N215" s="23">
        <v>1.47</v>
      </c>
      <c r="O215" s="23">
        <v>1.47</v>
      </c>
      <c r="P215" s="23">
        <v>1.47</v>
      </c>
      <c r="Q215" s="23">
        <v>1.47</v>
      </c>
    </row>
    <row r="216" spans="1:17" s="24" customFormat="1" ht="12.75" customHeight="1">
      <c r="A216" s="22" t="s">
        <v>341</v>
      </c>
      <c r="B216" s="23">
        <v>1.47</v>
      </c>
      <c r="J216" s="23">
        <v>1.47</v>
      </c>
      <c r="K216" s="23">
        <v>1.47</v>
      </c>
      <c r="L216" s="23">
        <v>1.47</v>
      </c>
      <c r="M216" s="23">
        <v>1.47</v>
      </c>
      <c r="N216" s="23">
        <v>1.47</v>
      </c>
      <c r="O216" s="23">
        <v>1.47</v>
      </c>
      <c r="P216" s="23">
        <v>1.47</v>
      </c>
      <c r="Q216" s="23">
        <v>1.47</v>
      </c>
    </row>
    <row r="217" spans="1:17" s="24" customFormat="1" ht="12.75" customHeight="1">
      <c r="A217" s="22" t="s">
        <v>342</v>
      </c>
      <c r="B217" s="23">
        <v>1.74</v>
      </c>
      <c r="J217" s="23">
        <v>1.74</v>
      </c>
      <c r="K217" s="23">
        <v>1.74</v>
      </c>
      <c r="L217" s="23">
        <v>1.74</v>
      </c>
      <c r="M217" s="23">
        <v>1.74</v>
      </c>
      <c r="N217" s="23">
        <v>1.74</v>
      </c>
      <c r="O217" s="23">
        <v>1.74</v>
      </c>
      <c r="P217" s="23">
        <v>1.74</v>
      </c>
      <c r="Q217" s="23">
        <v>1.74</v>
      </c>
    </row>
    <row r="218" spans="1:17" s="24" customFormat="1" ht="12.75" customHeight="1">
      <c r="A218" s="22" t="s">
        <v>343</v>
      </c>
      <c r="B218" s="23">
        <v>2.23</v>
      </c>
      <c r="J218" s="23">
        <v>2.23</v>
      </c>
      <c r="K218" s="23">
        <v>2.23</v>
      </c>
      <c r="L218" s="23">
        <v>2.23</v>
      </c>
      <c r="M218" s="23">
        <v>2.23</v>
      </c>
      <c r="N218" s="23">
        <v>2.23</v>
      </c>
      <c r="O218" s="23">
        <v>2.23</v>
      </c>
      <c r="P218" s="23">
        <v>2.23</v>
      </c>
      <c r="Q218" s="23">
        <v>2.23</v>
      </c>
    </row>
    <row r="219" spans="1:17" s="24" customFormat="1" ht="12.75" customHeight="1">
      <c r="A219" s="22" t="s">
        <v>344</v>
      </c>
      <c r="B219" s="23">
        <v>2.23</v>
      </c>
      <c r="J219" s="23">
        <v>2.23</v>
      </c>
      <c r="K219" s="23">
        <v>2.23</v>
      </c>
      <c r="L219" s="23">
        <v>2.23</v>
      </c>
      <c r="M219" s="23">
        <v>2.23</v>
      </c>
      <c r="N219" s="23">
        <v>2.23</v>
      </c>
      <c r="O219" s="23">
        <v>2.23</v>
      </c>
      <c r="P219" s="23">
        <v>2.23</v>
      </c>
      <c r="Q219" s="23">
        <v>2.23</v>
      </c>
    </row>
    <row r="220" spans="1:17" s="24" customFormat="1" ht="12.75" customHeight="1">
      <c r="A220" s="22" t="s">
        <v>345</v>
      </c>
      <c r="B220" s="23">
        <v>2.59</v>
      </c>
      <c r="J220" s="23">
        <v>2.59</v>
      </c>
      <c r="K220" s="23">
        <v>2.59</v>
      </c>
      <c r="L220" s="23">
        <v>2.59</v>
      </c>
      <c r="M220" s="23">
        <v>2.59</v>
      </c>
      <c r="N220" s="23">
        <v>2.59</v>
      </c>
      <c r="O220" s="23">
        <v>2.59</v>
      </c>
      <c r="P220" s="23">
        <v>2.59</v>
      </c>
      <c r="Q220" s="23">
        <v>2.59</v>
      </c>
    </row>
    <row r="221" spans="1:17" s="24" customFormat="1" ht="12.75" customHeight="1">
      <c r="A221" s="22" t="s">
        <v>346</v>
      </c>
      <c r="B221" s="23">
        <v>2.12</v>
      </c>
      <c r="J221" s="23">
        <v>2.12</v>
      </c>
      <c r="K221" s="23">
        <v>2.12</v>
      </c>
      <c r="L221" s="23">
        <v>2.12</v>
      </c>
      <c r="M221" s="23">
        <v>2.12</v>
      </c>
      <c r="N221" s="23">
        <v>2.12</v>
      </c>
      <c r="O221" s="23">
        <v>2.12</v>
      </c>
      <c r="P221" s="23">
        <v>2.12</v>
      </c>
      <c r="Q221" s="23">
        <v>2.12</v>
      </c>
    </row>
    <row r="222" spans="1:17" s="24" customFormat="1" ht="12.75" customHeight="1">
      <c r="A222" s="22" t="s">
        <v>347</v>
      </c>
      <c r="B222" s="23">
        <v>2.12</v>
      </c>
      <c r="J222" s="23">
        <v>2.12</v>
      </c>
      <c r="K222" s="23">
        <v>2.12</v>
      </c>
      <c r="L222" s="23">
        <v>2.12</v>
      </c>
      <c r="M222" s="23">
        <v>2.12</v>
      </c>
      <c r="N222" s="23">
        <v>2.12</v>
      </c>
      <c r="O222" s="23">
        <v>2.12</v>
      </c>
      <c r="P222" s="23">
        <v>2.12</v>
      </c>
      <c r="Q222" s="23">
        <v>2.12</v>
      </c>
    </row>
    <row r="223" spans="1:17" s="24" customFormat="1" ht="12.75" customHeight="1">
      <c r="A223" s="22" t="s">
        <v>348</v>
      </c>
      <c r="B223" s="23">
        <v>2.12</v>
      </c>
      <c r="J223" s="23">
        <v>2.12</v>
      </c>
      <c r="K223" s="23">
        <v>2.12</v>
      </c>
      <c r="L223" s="23">
        <v>2.12</v>
      </c>
      <c r="M223" s="23">
        <v>2.12</v>
      </c>
      <c r="N223" s="23">
        <v>2.12</v>
      </c>
      <c r="O223" s="23">
        <v>2.12</v>
      </c>
      <c r="P223" s="23">
        <v>2.12</v>
      </c>
      <c r="Q223" s="23">
        <v>2.12</v>
      </c>
    </row>
    <row r="224" spans="1:17" s="24" customFormat="1" ht="12.75" customHeight="1">
      <c r="A224" s="22" t="s">
        <v>349</v>
      </c>
      <c r="B224" s="23">
        <v>1.86</v>
      </c>
      <c r="J224" s="23">
        <v>1.86</v>
      </c>
      <c r="K224" s="23">
        <v>1.86</v>
      </c>
      <c r="L224" s="23">
        <v>1.86</v>
      </c>
      <c r="M224" s="23">
        <v>1.86</v>
      </c>
      <c r="N224" s="23">
        <v>1.86</v>
      </c>
      <c r="O224" s="23">
        <v>1.86</v>
      </c>
      <c r="P224" s="23">
        <v>1.86</v>
      </c>
      <c r="Q224" s="23">
        <v>1.86</v>
      </c>
    </row>
    <row r="225" spans="1:17" s="24" customFormat="1" ht="12.75" customHeight="1">
      <c r="A225" s="22" t="s">
        <v>350</v>
      </c>
      <c r="B225" s="23">
        <v>2.12</v>
      </c>
      <c r="J225" s="23">
        <v>2.12</v>
      </c>
      <c r="K225" s="23">
        <v>2.12</v>
      </c>
      <c r="L225" s="23">
        <v>2.12</v>
      </c>
      <c r="M225" s="23">
        <v>2.12</v>
      </c>
      <c r="N225" s="23">
        <v>2.12</v>
      </c>
      <c r="O225" s="23">
        <v>2.12</v>
      </c>
      <c r="P225" s="23">
        <v>2.12</v>
      </c>
      <c r="Q225" s="23">
        <v>2.12</v>
      </c>
    </row>
    <row r="226" spans="1:17" s="24" customFormat="1" ht="12.75" customHeight="1">
      <c r="A226" s="22" t="s">
        <v>351</v>
      </c>
      <c r="B226" s="23">
        <v>2.12</v>
      </c>
      <c r="J226" s="23">
        <v>2.12</v>
      </c>
      <c r="K226" s="23">
        <v>2.12</v>
      </c>
      <c r="L226" s="23">
        <v>2.12</v>
      </c>
      <c r="M226" s="23">
        <v>2.12</v>
      </c>
      <c r="N226" s="23">
        <v>2.12</v>
      </c>
      <c r="O226" s="23">
        <v>2.12</v>
      </c>
      <c r="P226" s="23">
        <v>2.12</v>
      </c>
      <c r="Q226" s="23">
        <v>2.12</v>
      </c>
    </row>
    <row r="227" spans="1:17" s="24" customFormat="1" ht="12.75" customHeight="1">
      <c r="A227" s="22" t="s">
        <v>352</v>
      </c>
      <c r="B227" s="23">
        <v>12</v>
      </c>
      <c r="J227" s="23">
        <v>12</v>
      </c>
      <c r="K227" s="23">
        <v>12</v>
      </c>
      <c r="L227" s="23">
        <v>12</v>
      </c>
      <c r="M227" s="23">
        <v>12</v>
      </c>
      <c r="N227" s="23">
        <v>12</v>
      </c>
      <c r="O227" s="23">
        <v>12</v>
      </c>
      <c r="P227" s="23">
        <v>12</v>
      </c>
      <c r="Q227" s="23">
        <v>12</v>
      </c>
    </row>
    <row r="228" spans="1:17" s="24" customFormat="1" ht="12.75" customHeight="1">
      <c r="A228" s="22" t="s">
        <v>353</v>
      </c>
      <c r="B228" s="23">
        <v>2.23</v>
      </c>
      <c r="J228" s="23">
        <v>2.23</v>
      </c>
      <c r="K228" s="23">
        <v>2.23</v>
      </c>
      <c r="L228" s="23">
        <v>2.23</v>
      </c>
      <c r="M228" s="23">
        <v>2.23</v>
      </c>
      <c r="N228" s="23">
        <v>2.23</v>
      </c>
      <c r="O228" s="23">
        <v>2.23</v>
      </c>
      <c r="P228" s="23">
        <v>2.23</v>
      </c>
      <c r="Q228" s="23">
        <v>2.23</v>
      </c>
    </row>
    <row r="229" spans="1:17" s="24" customFormat="1" ht="12.75" customHeight="1">
      <c r="A229" s="22" t="s">
        <v>354</v>
      </c>
      <c r="B229" s="23">
        <v>1.21</v>
      </c>
      <c r="J229" s="23">
        <v>1.21</v>
      </c>
      <c r="K229" s="23">
        <v>1.21</v>
      </c>
      <c r="L229" s="23">
        <v>1.21</v>
      </c>
      <c r="M229" s="23">
        <v>1.21</v>
      </c>
      <c r="N229" s="23">
        <v>1.21</v>
      </c>
      <c r="O229" s="23">
        <v>1.21</v>
      </c>
      <c r="P229" s="23">
        <v>1.21</v>
      </c>
      <c r="Q229" s="23">
        <v>1.21</v>
      </c>
    </row>
    <row r="230" spans="1:17" s="24" customFormat="1" ht="12.75" customHeight="1">
      <c r="A230" s="22" t="s">
        <v>355</v>
      </c>
      <c r="B230" s="23">
        <v>1.86</v>
      </c>
      <c r="J230" s="23">
        <v>1.86</v>
      </c>
      <c r="K230" s="23">
        <v>1.86</v>
      </c>
      <c r="L230" s="23">
        <v>1.86</v>
      </c>
      <c r="M230" s="23">
        <v>1.86</v>
      </c>
      <c r="N230" s="23">
        <v>1.86</v>
      </c>
      <c r="O230" s="23">
        <v>1.86</v>
      </c>
      <c r="P230" s="23">
        <v>1.86</v>
      </c>
      <c r="Q230" s="23">
        <v>1.86</v>
      </c>
    </row>
    <row r="231" spans="1:17" s="24" customFormat="1" ht="12.75" customHeight="1">
      <c r="A231" s="22" t="s">
        <v>356</v>
      </c>
      <c r="B231" s="23">
        <v>2.12</v>
      </c>
      <c r="J231" s="23">
        <v>2.12</v>
      </c>
      <c r="K231" s="23">
        <v>2.12</v>
      </c>
      <c r="L231" s="23">
        <v>2.12</v>
      </c>
      <c r="M231" s="23">
        <v>2.12</v>
      </c>
      <c r="N231" s="23">
        <v>2.12</v>
      </c>
      <c r="O231" s="23">
        <v>2.12</v>
      </c>
      <c r="P231" s="23">
        <v>2.12</v>
      </c>
      <c r="Q231" s="23">
        <v>2.12</v>
      </c>
    </row>
    <row r="232" spans="1:17" s="24" customFormat="1" ht="12.75" customHeight="1">
      <c r="A232" s="22" t="s">
        <v>357</v>
      </c>
      <c r="B232" s="23">
        <v>1.86</v>
      </c>
      <c r="J232" s="23">
        <v>1.86</v>
      </c>
      <c r="K232" s="23">
        <v>1.86</v>
      </c>
      <c r="L232" s="23">
        <v>1.86</v>
      </c>
      <c r="M232" s="23">
        <v>1.86</v>
      </c>
      <c r="N232" s="23">
        <v>1.86</v>
      </c>
      <c r="O232" s="23">
        <v>1.86</v>
      </c>
      <c r="P232" s="23">
        <v>1.86</v>
      </c>
      <c r="Q232" s="23">
        <v>1.86</v>
      </c>
    </row>
    <row r="233" spans="1:17" s="24" customFormat="1" ht="12.75" customHeight="1">
      <c r="A233" s="22" t="s">
        <v>358</v>
      </c>
      <c r="B233" s="23">
        <v>2.23</v>
      </c>
      <c r="J233" s="23">
        <v>2.23</v>
      </c>
      <c r="K233" s="23">
        <v>2.23</v>
      </c>
      <c r="L233" s="23">
        <v>2.23</v>
      </c>
      <c r="M233" s="23">
        <v>2.23</v>
      </c>
      <c r="N233" s="23">
        <v>2.23</v>
      </c>
      <c r="O233" s="23">
        <v>2.23</v>
      </c>
      <c r="P233" s="23">
        <v>2.23</v>
      </c>
      <c r="Q233" s="23">
        <v>2.23</v>
      </c>
    </row>
    <row r="234" spans="1:17" s="24" customFormat="1" ht="12.75" customHeight="1">
      <c r="A234" s="22" t="s">
        <v>359</v>
      </c>
      <c r="B234" s="23">
        <v>1.47</v>
      </c>
      <c r="J234" s="23">
        <v>1.47</v>
      </c>
      <c r="K234" s="23">
        <v>1.47</v>
      </c>
      <c r="L234" s="23">
        <v>1.47</v>
      </c>
      <c r="M234" s="23">
        <v>1.47</v>
      </c>
      <c r="N234" s="23">
        <v>1.47</v>
      </c>
      <c r="O234" s="23">
        <v>1.47</v>
      </c>
      <c r="P234" s="23">
        <v>1.47</v>
      </c>
      <c r="Q234" s="23">
        <v>1.47</v>
      </c>
    </row>
    <row r="235" spans="1:17" s="24" customFormat="1" ht="12.75" customHeight="1">
      <c r="A235" s="22" t="s">
        <v>360</v>
      </c>
      <c r="B235" s="23">
        <v>1.21</v>
      </c>
      <c r="J235" s="23">
        <v>1.21</v>
      </c>
      <c r="K235" s="23">
        <v>1.21</v>
      </c>
      <c r="L235" s="23">
        <v>1.21</v>
      </c>
      <c r="M235" s="23">
        <v>1.21</v>
      </c>
      <c r="N235" s="23">
        <v>1.21</v>
      </c>
      <c r="O235" s="23">
        <v>1.21</v>
      </c>
      <c r="P235" s="23">
        <v>1.21</v>
      </c>
      <c r="Q235" s="23">
        <v>1.21</v>
      </c>
    </row>
    <row r="236" spans="1:17" s="24" customFormat="1" ht="12.75" customHeight="1">
      <c r="A236" s="22" t="s">
        <v>361</v>
      </c>
      <c r="B236" s="23">
        <v>1.86</v>
      </c>
      <c r="J236" s="23">
        <v>1.86</v>
      </c>
      <c r="K236" s="23">
        <v>1.86</v>
      </c>
      <c r="L236" s="23">
        <v>1.86</v>
      </c>
      <c r="M236" s="23">
        <v>1.86</v>
      </c>
      <c r="N236" s="23">
        <v>1.86</v>
      </c>
      <c r="O236" s="23">
        <v>1.86</v>
      </c>
      <c r="P236" s="23">
        <v>1.86</v>
      </c>
      <c r="Q236" s="23">
        <v>1.86</v>
      </c>
    </row>
    <row r="237" spans="1:17" s="24" customFormat="1" ht="12.75" customHeight="1">
      <c r="A237" s="22" t="s">
        <v>362</v>
      </c>
      <c r="B237" s="23">
        <v>1.21</v>
      </c>
      <c r="J237" s="23">
        <v>1.21</v>
      </c>
      <c r="K237" s="23">
        <v>1.21</v>
      </c>
      <c r="L237" s="23">
        <v>1.21</v>
      </c>
      <c r="M237" s="23">
        <v>1.21</v>
      </c>
      <c r="N237" s="23">
        <v>1.21</v>
      </c>
      <c r="O237" s="23">
        <v>1.21</v>
      </c>
      <c r="P237" s="23">
        <v>1.21</v>
      </c>
      <c r="Q237" s="23">
        <v>1.21</v>
      </c>
    </row>
    <row r="238" spans="1:17" s="24" customFormat="1" ht="12.75" customHeight="1">
      <c r="A238" s="22" t="s">
        <v>363</v>
      </c>
      <c r="B238" s="23">
        <v>1.21</v>
      </c>
      <c r="J238" s="23">
        <v>1.21</v>
      </c>
      <c r="K238" s="23">
        <v>1.21</v>
      </c>
      <c r="L238" s="23">
        <v>1.21</v>
      </c>
      <c r="M238" s="23">
        <v>1.21</v>
      </c>
      <c r="N238" s="23">
        <v>1.21</v>
      </c>
      <c r="O238" s="23">
        <v>1.21</v>
      </c>
      <c r="P238" s="23">
        <v>1.21</v>
      </c>
      <c r="Q238" s="23">
        <v>1.21</v>
      </c>
    </row>
    <row r="239" spans="1:17" s="24" customFormat="1" ht="12.75" customHeight="1">
      <c r="A239" s="22" t="s">
        <v>364</v>
      </c>
      <c r="B239" s="23">
        <v>1.74</v>
      </c>
      <c r="J239" s="23">
        <v>1.74</v>
      </c>
      <c r="K239" s="23">
        <v>1.74</v>
      </c>
      <c r="L239" s="23">
        <v>1.74</v>
      </c>
      <c r="M239" s="23">
        <v>1.74</v>
      </c>
      <c r="N239" s="23">
        <v>1.74</v>
      </c>
      <c r="O239" s="23">
        <v>1.74</v>
      </c>
      <c r="P239" s="23">
        <v>1.74</v>
      </c>
      <c r="Q239" s="23">
        <v>1.74</v>
      </c>
    </row>
    <row r="240" spans="1:17" s="24" customFormat="1" ht="12.75" customHeight="1">
      <c r="A240" s="22" t="s">
        <v>365</v>
      </c>
      <c r="B240" s="23">
        <v>1.21</v>
      </c>
      <c r="J240" s="23">
        <v>1.21</v>
      </c>
      <c r="K240" s="23">
        <v>1.21</v>
      </c>
      <c r="L240" s="23">
        <v>1.21</v>
      </c>
      <c r="M240" s="23">
        <v>1.21</v>
      </c>
      <c r="N240" s="23">
        <v>1.21</v>
      </c>
      <c r="O240" s="23">
        <v>1.21</v>
      </c>
      <c r="P240" s="23">
        <v>1.21</v>
      </c>
      <c r="Q240" s="23">
        <v>1.21</v>
      </c>
    </row>
    <row r="241" spans="1:17" s="24" customFormat="1" ht="12.75" customHeight="1">
      <c r="A241" s="22" t="s">
        <v>366</v>
      </c>
      <c r="B241" s="23">
        <v>2.12</v>
      </c>
      <c r="J241" s="23">
        <v>2.12</v>
      </c>
      <c r="K241" s="23">
        <v>2.12</v>
      </c>
      <c r="L241" s="23">
        <v>2.12</v>
      </c>
      <c r="M241" s="23">
        <v>2.12</v>
      </c>
      <c r="N241" s="23">
        <v>2.12</v>
      </c>
      <c r="O241" s="23">
        <v>2.12</v>
      </c>
      <c r="P241" s="23">
        <v>2.12</v>
      </c>
      <c r="Q241" s="23">
        <v>2.12</v>
      </c>
    </row>
    <row r="242" spans="1:17" s="24" customFormat="1" ht="12.75" customHeight="1">
      <c r="A242" s="22" t="s">
        <v>367</v>
      </c>
      <c r="B242" s="23">
        <v>2.12</v>
      </c>
      <c r="J242" s="23">
        <v>2.12</v>
      </c>
      <c r="K242" s="23">
        <v>2.12</v>
      </c>
      <c r="L242" s="23">
        <v>2.12</v>
      </c>
      <c r="M242" s="23">
        <v>2.12</v>
      </c>
      <c r="N242" s="23">
        <v>2.12</v>
      </c>
      <c r="O242" s="23">
        <v>2.12</v>
      </c>
      <c r="P242" s="23">
        <v>2.12</v>
      </c>
      <c r="Q242" s="23">
        <v>2.12</v>
      </c>
    </row>
    <row r="243" spans="1:17" s="24" customFormat="1" ht="12.75" customHeight="1">
      <c r="A243" s="22" t="s">
        <v>368</v>
      </c>
      <c r="B243" s="23">
        <v>2.12</v>
      </c>
      <c r="J243" s="23">
        <v>2.12</v>
      </c>
      <c r="K243" s="23">
        <v>2.12</v>
      </c>
      <c r="L243" s="23">
        <v>2.12</v>
      </c>
      <c r="M243" s="23">
        <v>2.12</v>
      </c>
      <c r="N243" s="23">
        <v>2.12</v>
      </c>
      <c r="O243" s="23">
        <v>2.12</v>
      </c>
      <c r="P243" s="23">
        <v>2.12</v>
      </c>
      <c r="Q243" s="23">
        <v>2.12</v>
      </c>
    </row>
    <row r="244" spans="1:17" s="24" customFormat="1" ht="12.75" customHeight="1">
      <c r="A244" s="22" t="s">
        <v>369</v>
      </c>
      <c r="B244" s="23">
        <v>1.74</v>
      </c>
      <c r="J244" s="23">
        <v>1.74</v>
      </c>
      <c r="K244" s="23">
        <v>1.74</v>
      </c>
      <c r="L244" s="23">
        <v>1.74</v>
      </c>
      <c r="M244" s="23">
        <v>1.74</v>
      </c>
      <c r="N244" s="23">
        <v>1.74</v>
      </c>
      <c r="O244" s="23">
        <v>1.74</v>
      </c>
      <c r="P244" s="23">
        <v>1.74</v>
      </c>
      <c r="Q244" s="23">
        <v>1.74</v>
      </c>
    </row>
    <row r="245" spans="1:17" s="24" customFormat="1" ht="12.75" customHeight="1">
      <c r="A245" s="22" t="s">
        <v>370</v>
      </c>
      <c r="B245" s="23">
        <v>2.12</v>
      </c>
      <c r="J245" s="23">
        <v>2.12</v>
      </c>
      <c r="K245" s="23">
        <v>2.12</v>
      </c>
      <c r="L245" s="23">
        <v>2.12</v>
      </c>
      <c r="M245" s="23">
        <v>2.12</v>
      </c>
      <c r="N245" s="23">
        <v>2.12</v>
      </c>
      <c r="O245" s="23">
        <v>2.12</v>
      </c>
      <c r="P245" s="23">
        <v>2.12</v>
      </c>
      <c r="Q245" s="23">
        <v>2.12</v>
      </c>
    </row>
    <row r="246" spans="1:17" s="24" customFormat="1" ht="12.75" customHeight="1">
      <c r="A246" s="22" t="s">
        <v>371</v>
      </c>
      <c r="B246" s="23">
        <v>2.23</v>
      </c>
      <c r="J246" s="23">
        <v>2.23</v>
      </c>
      <c r="K246" s="23">
        <v>2.23</v>
      </c>
      <c r="L246" s="23">
        <v>2.23</v>
      </c>
      <c r="M246" s="23">
        <v>2.23</v>
      </c>
      <c r="N246" s="23">
        <v>2.23</v>
      </c>
      <c r="O246" s="23">
        <v>2.23</v>
      </c>
      <c r="P246" s="23">
        <v>2.23</v>
      </c>
      <c r="Q246" s="23">
        <v>2.23</v>
      </c>
    </row>
    <row r="247" spans="1:17" s="24" customFormat="1" ht="12.75" customHeight="1">
      <c r="A247" s="22" t="s">
        <v>372</v>
      </c>
      <c r="B247" s="23">
        <v>2.59</v>
      </c>
      <c r="J247" s="23">
        <v>2.59</v>
      </c>
      <c r="K247" s="23">
        <v>2.59</v>
      </c>
      <c r="L247" s="23">
        <v>2.59</v>
      </c>
      <c r="M247" s="23">
        <v>2.59</v>
      </c>
      <c r="N247" s="23">
        <v>2.59</v>
      </c>
      <c r="O247" s="23">
        <v>2.59</v>
      </c>
      <c r="P247" s="23">
        <v>2.59</v>
      </c>
      <c r="Q247" s="23">
        <v>2.59</v>
      </c>
    </row>
    <row r="248" spans="1:17" s="24" customFormat="1" ht="12.75" customHeight="1">
      <c r="A248" s="22" t="s">
        <v>373</v>
      </c>
      <c r="B248" s="23">
        <v>1.86</v>
      </c>
      <c r="J248" s="23">
        <v>1.86</v>
      </c>
      <c r="K248" s="23">
        <v>1.86</v>
      </c>
      <c r="L248" s="23">
        <v>1.86</v>
      </c>
      <c r="M248" s="23">
        <v>1.86</v>
      </c>
      <c r="N248" s="23">
        <v>1.86</v>
      </c>
      <c r="O248" s="23">
        <v>1.86</v>
      </c>
      <c r="P248" s="23">
        <v>1.86</v>
      </c>
      <c r="Q248" s="23">
        <v>1.86</v>
      </c>
    </row>
    <row r="249" spans="1:17" s="24" customFormat="1" ht="12.75" customHeight="1">
      <c r="A249" s="22" t="s">
        <v>374</v>
      </c>
      <c r="B249" s="23">
        <v>1.74</v>
      </c>
      <c r="J249" s="23">
        <v>1.74</v>
      </c>
      <c r="K249" s="23">
        <v>1.74</v>
      </c>
      <c r="L249" s="23">
        <v>1.74</v>
      </c>
      <c r="M249" s="23">
        <v>1.74</v>
      </c>
      <c r="N249" s="23">
        <v>1.74</v>
      </c>
      <c r="O249" s="23">
        <v>1.74</v>
      </c>
      <c r="P249" s="23">
        <v>1.74</v>
      </c>
      <c r="Q249" s="23">
        <v>1.74</v>
      </c>
    </row>
    <row r="250" spans="1:17" s="24" customFormat="1" ht="12.75" customHeight="1">
      <c r="A250" s="22" t="s">
        <v>375</v>
      </c>
      <c r="B250" s="23">
        <v>2.59</v>
      </c>
      <c r="J250" s="23">
        <v>2.59</v>
      </c>
      <c r="K250" s="23">
        <v>2.59</v>
      </c>
      <c r="L250" s="23">
        <v>2.59</v>
      </c>
      <c r="M250" s="23">
        <v>2.59</v>
      </c>
      <c r="N250" s="23">
        <v>2.59</v>
      </c>
      <c r="O250" s="23">
        <v>2.59</v>
      </c>
      <c r="P250" s="23">
        <v>2.59</v>
      </c>
      <c r="Q250" s="23">
        <v>2.59</v>
      </c>
    </row>
    <row r="251" spans="1:17" s="24" customFormat="1" ht="12.75" customHeight="1">
      <c r="A251" s="22" t="s">
        <v>376</v>
      </c>
      <c r="B251" s="23">
        <v>1.74</v>
      </c>
      <c r="J251" s="23">
        <v>1.74</v>
      </c>
      <c r="K251" s="23">
        <v>1.74</v>
      </c>
      <c r="L251" s="23">
        <v>1.74</v>
      </c>
      <c r="M251" s="23">
        <v>1.74</v>
      </c>
      <c r="N251" s="23">
        <v>1.74</v>
      </c>
      <c r="O251" s="23">
        <v>1.74</v>
      </c>
      <c r="P251" s="23">
        <v>1.74</v>
      </c>
      <c r="Q251" s="23">
        <v>1.74</v>
      </c>
    </row>
    <row r="252" spans="1:17" s="24" customFormat="1" ht="12.75" customHeight="1">
      <c r="A252" s="22" t="s">
        <v>377</v>
      </c>
      <c r="B252" s="23">
        <v>1.74</v>
      </c>
      <c r="J252" s="23">
        <v>1.74</v>
      </c>
      <c r="K252" s="23">
        <v>1.74</v>
      </c>
      <c r="L252" s="23">
        <v>1.74</v>
      </c>
      <c r="M252" s="23">
        <v>1.74</v>
      </c>
      <c r="N252" s="23">
        <v>1.74</v>
      </c>
      <c r="O252" s="23">
        <v>1.74</v>
      </c>
      <c r="P252" s="23">
        <v>1.74</v>
      </c>
      <c r="Q252" s="23">
        <v>1.74</v>
      </c>
    </row>
    <row r="253" spans="1:17" s="24" customFormat="1" ht="12.75" customHeight="1">
      <c r="A253" s="22" t="s">
        <v>378</v>
      </c>
      <c r="B253" s="23">
        <v>2.12</v>
      </c>
      <c r="J253" s="23">
        <v>2.12</v>
      </c>
      <c r="K253" s="23">
        <v>2.12</v>
      </c>
      <c r="L253" s="23">
        <v>2.12</v>
      </c>
      <c r="M253" s="23">
        <v>2.12</v>
      </c>
      <c r="N253" s="23">
        <v>2.12</v>
      </c>
      <c r="O253" s="23">
        <v>2.12</v>
      </c>
      <c r="P253" s="23">
        <v>2.12</v>
      </c>
      <c r="Q253" s="23">
        <v>2.12</v>
      </c>
    </row>
    <row r="254" spans="1:17" s="24" customFormat="1" ht="12.75" customHeight="1">
      <c r="A254" s="22" t="s">
        <v>379</v>
      </c>
      <c r="B254" s="23">
        <v>2.12</v>
      </c>
      <c r="J254" s="23">
        <v>2.12</v>
      </c>
      <c r="K254" s="23">
        <v>2.12</v>
      </c>
      <c r="L254" s="23">
        <v>2.12</v>
      </c>
      <c r="M254" s="23">
        <v>2.12</v>
      </c>
      <c r="N254" s="23">
        <v>2.12</v>
      </c>
      <c r="O254" s="23">
        <v>2.12</v>
      </c>
      <c r="P254" s="23">
        <v>2.12</v>
      </c>
      <c r="Q254" s="23">
        <v>2.12</v>
      </c>
    </row>
    <row r="255" spans="1:17" s="24" customFormat="1" ht="12.75" customHeight="1">
      <c r="A255" s="22" t="s">
        <v>380</v>
      </c>
      <c r="B255" s="23">
        <v>1.86</v>
      </c>
      <c r="J255" s="23">
        <v>1.86</v>
      </c>
      <c r="K255" s="23">
        <v>1.86</v>
      </c>
      <c r="L255" s="23">
        <v>1.86</v>
      </c>
      <c r="M255" s="23">
        <v>1.86</v>
      </c>
      <c r="N255" s="23">
        <v>1.86</v>
      </c>
      <c r="O255" s="23">
        <v>1.86</v>
      </c>
      <c r="P255" s="23">
        <v>1.86</v>
      </c>
      <c r="Q255" s="23">
        <v>1.86</v>
      </c>
    </row>
    <row r="256" spans="1:17" s="24" customFormat="1" ht="12.75" customHeight="1">
      <c r="A256" s="22" t="s">
        <v>381</v>
      </c>
      <c r="B256" s="23">
        <v>2.12</v>
      </c>
      <c r="J256" s="23">
        <v>2.12</v>
      </c>
      <c r="K256" s="23">
        <v>2.12</v>
      </c>
      <c r="L256" s="23">
        <v>2.12</v>
      </c>
      <c r="M256" s="23">
        <v>2.12</v>
      </c>
      <c r="N256" s="23">
        <v>2.12</v>
      </c>
      <c r="O256" s="23">
        <v>2.12</v>
      </c>
      <c r="P256" s="23">
        <v>2.12</v>
      </c>
      <c r="Q256" s="23">
        <v>2.12</v>
      </c>
    </row>
    <row r="257" spans="1:17" s="24" customFormat="1" ht="12.75" customHeight="1">
      <c r="A257" s="22" t="s">
        <v>382</v>
      </c>
      <c r="B257" s="23">
        <v>2.12</v>
      </c>
      <c r="J257" s="23">
        <v>2.12</v>
      </c>
      <c r="K257" s="23">
        <v>2.12</v>
      </c>
      <c r="L257" s="23">
        <v>2.12</v>
      </c>
      <c r="M257" s="23">
        <v>2.12</v>
      </c>
      <c r="N257" s="23">
        <v>2.12</v>
      </c>
      <c r="O257" s="23">
        <v>2.12</v>
      </c>
      <c r="P257" s="23">
        <v>2.12</v>
      </c>
      <c r="Q257" s="23">
        <v>2.12</v>
      </c>
    </row>
    <row r="258" spans="1:17" s="24" customFormat="1" ht="12.75" customHeight="1">
      <c r="A258" s="22" t="s">
        <v>383</v>
      </c>
      <c r="B258" s="23">
        <v>2.59</v>
      </c>
      <c r="J258" s="23">
        <v>2.59</v>
      </c>
      <c r="K258" s="23">
        <v>2.59</v>
      </c>
      <c r="L258" s="23">
        <v>2.59</v>
      </c>
      <c r="M258" s="23">
        <v>2.59</v>
      </c>
      <c r="N258" s="23">
        <v>2.59</v>
      </c>
      <c r="O258" s="23">
        <v>2.59</v>
      </c>
      <c r="P258" s="23">
        <v>2.59</v>
      </c>
      <c r="Q258" s="23">
        <v>2.59</v>
      </c>
    </row>
    <row r="259" spans="1:17" s="24" customFormat="1" ht="12.75" customHeight="1">
      <c r="A259" s="22" t="s">
        <v>384</v>
      </c>
      <c r="B259" s="23">
        <v>1.21</v>
      </c>
      <c r="J259" s="23">
        <v>1.21</v>
      </c>
      <c r="K259" s="23">
        <v>1.21</v>
      </c>
      <c r="L259" s="23">
        <v>1.21</v>
      </c>
      <c r="M259" s="23">
        <v>1.21</v>
      </c>
      <c r="N259" s="23">
        <v>1.21</v>
      </c>
      <c r="O259" s="23">
        <v>1.21</v>
      </c>
      <c r="P259" s="23">
        <v>1.21</v>
      </c>
      <c r="Q259" s="23">
        <v>1.21</v>
      </c>
    </row>
    <row r="260" spans="1:17" s="24" customFormat="1" ht="12.75" customHeight="1">
      <c r="A260" s="22" t="s">
        <v>385</v>
      </c>
      <c r="B260" s="23">
        <v>1.21</v>
      </c>
      <c r="J260" s="23">
        <v>1.21</v>
      </c>
      <c r="K260" s="23">
        <v>1.21</v>
      </c>
      <c r="L260" s="23">
        <v>1.21</v>
      </c>
      <c r="M260" s="23">
        <v>1.21</v>
      </c>
      <c r="N260" s="23">
        <v>1.21</v>
      </c>
      <c r="O260" s="23">
        <v>1.21</v>
      </c>
      <c r="P260" s="23">
        <v>1.21</v>
      </c>
      <c r="Q260" s="23">
        <v>1.21</v>
      </c>
    </row>
    <row r="261" spans="1:17" s="24" customFormat="1" ht="12.75" customHeight="1">
      <c r="A261" s="22" t="s">
        <v>386</v>
      </c>
      <c r="B261" s="23">
        <v>1.74</v>
      </c>
      <c r="J261" s="23">
        <v>1.74</v>
      </c>
      <c r="K261" s="23">
        <v>1.74</v>
      </c>
      <c r="L261" s="23">
        <v>1.74</v>
      </c>
      <c r="M261" s="23">
        <v>1.74</v>
      </c>
      <c r="N261" s="23">
        <v>1.74</v>
      </c>
      <c r="O261" s="23">
        <v>1.74</v>
      </c>
      <c r="P261" s="23">
        <v>1.74</v>
      </c>
      <c r="Q261" s="23">
        <v>1.74</v>
      </c>
    </row>
    <row r="262" spans="1:17" s="24" customFormat="1" ht="12.75" customHeight="1">
      <c r="A262" s="22" t="s">
        <v>387</v>
      </c>
      <c r="B262" s="23">
        <v>12</v>
      </c>
      <c r="J262" s="23">
        <v>12</v>
      </c>
      <c r="K262" s="23">
        <v>12</v>
      </c>
      <c r="L262" s="23">
        <v>12</v>
      </c>
      <c r="M262" s="23">
        <v>12</v>
      </c>
      <c r="N262" s="23">
        <v>12</v>
      </c>
      <c r="O262" s="23">
        <v>12</v>
      </c>
      <c r="P262" s="23">
        <v>12</v>
      </c>
      <c r="Q262" s="23">
        <v>12</v>
      </c>
    </row>
    <row r="263" spans="1:17" s="24" customFormat="1" ht="12.75" customHeight="1">
      <c r="A263" s="22" t="s">
        <v>388</v>
      </c>
      <c r="B263" s="23">
        <v>1.86</v>
      </c>
      <c r="J263" s="23">
        <v>1.86</v>
      </c>
      <c r="K263" s="23">
        <v>1.86</v>
      </c>
      <c r="L263" s="23">
        <v>1.86</v>
      </c>
      <c r="M263" s="23">
        <v>1.86</v>
      </c>
      <c r="N263" s="23">
        <v>1.86</v>
      </c>
      <c r="O263" s="23">
        <v>1.86</v>
      </c>
      <c r="P263" s="23">
        <v>1.86</v>
      </c>
      <c r="Q263" s="23">
        <v>1.86</v>
      </c>
    </row>
    <row r="264" spans="1:17" s="24" customFormat="1" ht="12.75" customHeight="1">
      <c r="A264" s="22" t="s">
        <v>389</v>
      </c>
      <c r="B264" s="23">
        <v>2.12</v>
      </c>
      <c r="J264" s="23">
        <v>2.12</v>
      </c>
      <c r="K264" s="23">
        <v>2.12</v>
      </c>
      <c r="L264" s="23">
        <v>2.12</v>
      </c>
      <c r="M264" s="23">
        <v>2.12</v>
      </c>
      <c r="N264" s="23">
        <v>2.12</v>
      </c>
      <c r="O264" s="23">
        <v>2.12</v>
      </c>
      <c r="P264" s="23">
        <v>2.12</v>
      </c>
      <c r="Q264" s="23">
        <v>2.12</v>
      </c>
    </row>
    <row r="265" spans="1:17" s="24" customFormat="1" ht="12.75" customHeight="1">
      <c r="A265" s="22" t="s">
        <v>390</v>
      </c>
      <c r="B265" s="23">
        <v>1.74</v>
      </c>
      <c r="J265" s="23">
        <v>1.74</v>
      </c>
      <c r="K265" s="23">
        <v>1.74</v>
      </c>
      <c r="L265" s="23">
        <v>1.74</v>
      </c>
      <c r="M265" s="23">
        <v>1.74</v>
      </c>
      <c r="N265" s="23">
        <v>1.74</v>
      </c>
      <c r="O265" s="23">
        <v>1.74</v>
      </c>
      <c r="P265" s="23">
        <v>1.74</v>
      </c>
      <c r="Q265" s="23">
        <v>1.74</v>
      </c>
    </row>
    <row r="266" spans="1:17" s="24" customFormat="1" ht="12.75" customHeight="1">
      <c r="A266" s="22" t="s">
        <v>391</v>
      </c>
      <c r="B266" s="23">
        <v>2.23</v>
      </c>
      <c r="J266" s="23">
        <v>2.23</v>
      </c>
      <c r="K266" s="23">
        <v>2.23</v>
      </c>
      <c r="L266" s="23">
        <v>2.23</v>
      </c>
      <c r="M266" s="23">
        <v>2.23</v>
      </c>
      <c r="N266" s="23">
        <v>2.23</v>
      </c>
      <c r="O266" s="23">
        <v>2.23</v>
      </c>
      <c r="P266" s="23">
        <v>2.23</v>
      </c>
      <c r="Q266" s="23">
        <v>2.23</v>
      </c>
    </row>
    <row r="267" spans="1:17" s="24" customFormat="1" ht="12.75" customHeight="1">
      <c r="A267" s="22" t="s">
        <v>392</v>
      </c>
      <c r="B267" s="23">
        <v>1.21</v>
      </c>
      <c r="J267" s="23">
        <v>1.21</v>
      </c>
      <c r="K267" s="23">
        <v>1.21</v>
      </c>
      <c r="L267" s="23">
        <v>1.21</v>
      </c>
      <c r="M267" s="23">
        <v>1.21</v>
      </c>
      <c r="N267" s="23">
        <v>1.21</v>
      </c>
      <c r="O267" s="23">
        <v>1.21</v>
      </c>
      <c r="P267" s="23">
        <v>1.21</v>
      </c>
      <c r="Q267" s="23">
        <v>1.21</v>
      </c>
    </row>
    <row r="268" spans="1:17" s="24" customFormat="1" ht="12.75" customHeight="1">
      <c r="A268" s="22" t="s">
        <v>393</v>
      </c>
      <c r="B268" s="23">
        <v>2.12</v>
      </c>
      <c r="J268" s="23">
        <v>2.12</v>
      </c>
      <c r="K268" s="23">
        <v>2.12</v>
      </c>
      <c r="L268" s="23">
        <v>2.12</v>
      </c>
      <c r="M268" s="23">
        <v>2.12</v>
      </c>
      <c r="N268" s="23">
        <v>2.12</v>
      </c>
      <c r="O268" s="23">
        <v>2.12</v>
      </c>
      <c r="P268" s="23">
        <v>2.12</v>
      </c>
      <c r="Q268" s="23">
        <v>2.12</v>
      </c>
    </row>
    <row r="269" spans="1:17" s="24" customFormat="1" ht="12.75" customHeight="1">
      <c r="A269" s="22" t="s">
        <v>394</v>
      </c>
      <c r="B269" s="23">
        <v>2.12</v>
      </c>
      <c r="J269" s="23">
        <v>2.12</v>
      </c>
      <c r="K269" s="23">
        <v>2.12</v>
      </c>
      <c r="L269" s="23">
        <v>2.12</v>
      </c>
      <c r="M269" s="23">
        <v>2.12</v>
      </c>
      <c r="N269" s="23">
        <v>2.12</v>
      </c>
      <c r="O269" s="23">
        <v>2.12</v>
      </c>
      <c r="P269" s="23">
        <v>2.12</v>
      </c>
      <c r="Q269" s="23">
        <v>2.12</v>
      </c>
    </row>
    <row r="270" spans="1:17" s="24" customFormat="1" ht="12.75" customHeight="1">
      <c r="A270" s="22" t="s">
        <v>395</v>
      </c>
      <c r="B270" s="23">
        <v>1.21</v>
      </c>
      <c r="J270" s="23">
        <v>1.21</v>
      </c>
      <c r="K270" s="23">
        <v>1.21</v>
      </c>
      <c r="L270" s="23">
        <v>1.21</v>
      </c>
      <c r="M270" s="23">
        <v>1.21</v>
      </c>
      <c r="N270" s="23">
        <v>1.21</v>
      </c>
      <c r="O270" s="23">
        <v>1.21</v>
      </c>
      <c r="P270" s="23">
        <v>1.21</v>
      </c>
      <c r="Q270" s="23">
        <v>1.21</v>
      </c>
    </row>
    <row r="271" spans="1:17" s="24" customFormat="1" ht="12.75" customHeight="1">
      <c r="A271" s="22" t="s">
        <v>396</v>
      </c>
      <c r="B271" s="23">
        <v>1.21</v>
      </c>
      <c r="J271" s="23">
        <v>1.21</v>
      </c>
      <c r="K271" s="23">
        <v>1.21</v>
      </c>
      <c r="L271" s="23">
        <v>1.21</v>
      </c>
      <c r="M271" s="23">
        <v>1.21</v>
      </c>
      <c r="N271" s="23">
        <v>1.21</v>
      </c>
      <c r="O271" s="23">
        <v>1.21</v>
      </c>
      <c r="P271" s="23">
        <v>1.21</v>
      </c>
      <c r="Q271" s="23">
        <v>1.21</v>
      </c>
    </row>
    <row r="272" spans="1:17" s="24" customFormat="1" ht="12.75" customHeight="1">
      <c r="A272" s="22" t="s">
        <v>397</v>
      </c>
      <c r="B272" s="23">
        <v>2.95</v>
      </c>
      <c r="J272" s="23">
        <v>2.95</v>
      </c>
      <c r="K272" s="23">
        <v>2.95</v>
      </c>
      <c r="L272" s="23">
        <v>2.95</v>
      </c>
      <c r="M272" s="23">
        <v>2.95</v>
      </c>
      <c r="N272" s="23">
        <v>2.95</v>
      </c>
      <c r="O272" s="23">
        <v>2.95</v>
      </c>
      <c r="P272" s="23">
        <v>2.95</v>
      </c>
      <c r="Q272" s="23">
        <v>2.95</v>
      </c>
    </row>
    <row r="273" spans="1:17" s="24" customFormat="1" ht="12.75" customHeight="1">
      <c r="A273" s="22" t="s">
        <v>398</v>
      </c>
      <c r="B273" s="23">
        <v>2.12</v>
      </c>
      <c r="J273" s="23">
        <v>2.12</v>
      </c>
      <c r="K273" s="23">
        <v>2.12</v>
      </c>
      <c r="L273" s="23">
        <v>2.12</v>
      </c>
      <c r="M273" s="23">
        <v>2.12</v>
      </c>
      <c r="N273" s="23">
        <v>2.12</v>
      </c>
      <c r="O273" s="23">
        <v>2.12</v>
      </c>
      <c r="P273" s="23">
        <v>2.12</v>
      </c>
      <c r="Q273" s="23">
        <v>2.12</v>
      </c>
    </row>
    <row r="274" spans="1:17" s="24" customFormat="1" ht="12.75" customHeight="1">
      <c r="A274" s="22" t="s">
        <v>399</v>
      </c>
      <c r="B274" s="23">
        <v>1.74</v>
      </c>
      <c r="J274" s="23">
        <v>1.74</v>
      </c>
      <c r="K274" s="23">
        <v>1.74</v>
      </c>
      <c r="L274" s="23">
        <v>1.74</v>
      </c>
      <c r="M274" s="23">
        <v>1.74</v>
      </c>
      <c r="N274" s="23">
        <v>1.74</v>
      </c>
      <c r="O274" s="23">
        <v>1.74</v>
      </c>
      <c r="P274" s="23">
        <v>1.74</v>
      </c>
      <c r="Q274" s="23">
        <v>1.74</v>
      </c>
    </row>
    <row r="275" spans="1:17" s="24" customFormat="1" ht="12.75" customHeight="1">
      <c r="A275" s="22" t="s">
        <v>400</v>
      </c>
      <c r="B275" s="23">
        <v>1.21</v>
      </c>
      <c r="J275" s="23">
        <v>1.21</v>
      </c>
      <c r="K275" s="23">
        <v>1.21</v>
      </c>
      <c r="L275" s="23">
        <v>1.21</v>
      </c>
      <c r="M275" s="23">
        <v>1.21</v>
      </c>
      <c r="N275" s="23">
        <v>1.21</v>
      </c>
      <c r="O275" s="23">
        <v>1.21</v>
      </c>
      <c r="P275" s="23">
        <v>1.21</v>
      </c>
      <c r="Q275" s="23">
        <v>1.21</v>
      </c>
    </row>
    <row r="276" spans="1:17" s="24" customFormat="1" ht="12.75" customHeight="1">
      <c r="A276" s="22" t="s">
        <v>401</v>
      </c>
      <c r="B276" s="23">
        <v>1.74</v>
      </c>
      <c r="J276" s="23">
        <v>1.74</v>
      </c>
      <c r="K276" s="23">
        <v>1.74</v>
      </c>
      <c r="L276" s="23">
        <v>1.74</v>
      </c>
      <c r="M276" s="23">
        <v>1.74</v>
      </c>
      <c r="N276" s="23">
        <v>1.74</v>
      </c>
      <c r="O276" s="23">
        <v>1.74</v>
      </c>
      <c r="P276" s="23">
        <v>1.74</v>
      </c>
      <c r="Q276" s="23">
        <v>1.74</v>
      </c>
    </row>
    <row r="277" spans="1:17" s="24" customFormat="1" ht="12.75" customHeight="1">
      <c r="A277" s="22" t="s">
        <v>402</v>
      </c>
      <c r="B277" s="23">
        <v>2.23</v>
      </c>
      <c r="J277" s="23">
        <v>2.23</v>
      </c>
      <c r="K277" s="23">
        <v>2.23</v>
      </c>
      <c r="L277" s="23">
        <v>2.23</v>
      </c>
      <c r="M277" s="23">
        <v>2.23</v>
      </c>
      <c r="N277" s="23">
        <v>2.23</v>
      </c>
      <c r="O277" s="23">
        <v>2.23</v>
      </c>
      <c r="P277" s="23">
        <v>2.23</v>
      </c>
      <c r="Q277" s="23">
        <v>2.23</v>
      </c>
    </row>
    <row r="278" spans="1:17" s="24" customFormat="1" ht="12.75" customHeight="1">
      <c r="A278" s="22" t="s">
        <v>403</v>
      </c>
      <c r="B278" s="23">
        <v>2.12</v>
      </c>
      <c r="J278" s="23">
        <v>2.12</v>
      </c>
      <c r="K278" s="23">
        <v>2.12</v>
      </c>
      <c r="L278" s="23">
        <v>2.12</v>
      </c>
      <c r="M278" s="23">
        <v>2.12</v>
      </c>
      <c r="N278" s="23">
        <v>2.12</v>
      </c>
      <c r="O278" s="23">
        <v>2.12</v>
      </c>
      <c r="P278" s="23">
        <v>2.12</v>
      </c>
      <c r="Q278" s="23">
        <v>2.12</v>
      </c>
    </row>
    <row r="279" spans="1:17" s="24" customFormat="1" ht="12.75" customHeight="1">
      <c r="A279" s="22" t="s">
        <v>404</v>
      </c>
      <c r="B279" s="23">
        <v>2.12</v>
      </c>
      <c r="J279" s="23">
        <v>2.12</v>
      </c>
      <c r="K279" s="23">
        <v>2.12</v>
      </c>
      <c r="L279" s="23">
        <v>2.12</v>
      </c>
      <c r="M279" s="23">
        <v>2.12</v>
      </c>
      <c r="N279" s="23">
        <v>2.12</v>
      </c>
      <c r="O279" s="23">
        <v>2.12</v>
      </c>
      <c r="P279" s="23">
        <v>2.12</v>
      </c>
      <c r="Q279" s="23">
        <v>2.12</v>
      </c>
    </row>
    <row r="280" spans="1:17" s="24" customFormat="1" ht="12.75" customHeight="1">
      <c r="A280" s="22" t="s">
        <v>405</v>
      </c>
      <c r="B280" s="23">
        <v>2.23</v>
      </c>
      <c r="J280" s="23">
        <v>2.23</v>
      </c>
      <c r="K280" s="23">
        <v>2.23</v>
      </c>
      <c r="L280" s="23">
        <v>2.23</v>
      </c>
      <c r="M280" s="23">
        <v>2.23</v>
      </c>
      <c r="N280" s="23">
        <v>2.23</v>
      </c>
      <c r="O280" s="23">
        <v>2.23</v>
      </c>
      <c r="P280" s="23">
        <v>2.23</v>
      </c>
      <c r="Q280" s="23">
        <v>2.23</v>
      </c>
    </row>
    <row r="281" spans="1:17" s="24" customFormat="1" ht="12.75" customHeight="1">
      <c r="A281" s="22" t="s">
        <v>406</v>
      </c>
      <c r="B281" s="23">
        <v>2.12</v>
      </c>
      <c r="J281" s="23">
        <v>2.12</v>
      </c>
      <c r="K281" s="23">
        <v>2.12</v>
      </c>
      <c r="L281" s="23">
        <v>2.12</v>
      </c>
      <c r="M281" s="23">
        <v>2.12</v>
      </c>
      <c r="N281" s="23">
        <v>2.12</v>
      </c>
      <c r="O281" s="23">
        <v>2.12</v>
      </c>
      <c r="P281" s="23">
        <v>2.12</v>
      </c>
      <c r="Q281" s="23">
        <v>2.12</v>
      </c>
    </row>
    <row r="282" spans="1:17" s="24" customFormat="1" ht="12.75" customHeight="1">
      <c r="A282" s="22" t="s">
        <v>407</v>
      </c>
      <c r="B282" s="23">
        <v>1.86</v>
      </c>
      <c r="J282" s="23">
        <v>1.86</v>
      </c>
      <c r="K282" s="23">
        <v>1.86</v>
      </c>
      <c r="L282" s="23">
        <v>1.86</v>
      </c>
      <c r="M282" s="23">
        <v>1.86</v>
      </c>
      <c r="N282" s="23">
        <v>1.86</v>
      </c>
      <c r="O282" s="23">
        <v>1.86</v>
      </c>
      <c r="P282" s="23">
        <v>1.86</v>
      </c>
      <c r="Q282" s="23">
        <v>1.86</v>
      </c>
    </row>
    <row r="283" spans="1:17" s="24" customFormat="1" ht="12.75" customHeight="1">
      <c r="A283" s="22" t="s">
        <v>408</v>
      </c>
      <c r="B283" s="23">
        <v>1.21</v>
      </c>
      <c r="J283" s="23">
        <v>1.21</v>
      </c>
      <c r="K283" s="23">
        <v>1.21</v>
      </c>
      <c r="L283" s="23">
        <v>1.21</v>
      </c>
      <c r="M283" s="23">
        <v>1.21</v>
      </c>
      <c r="N283" s="23">
        <v>1.21</v>
      </c>
      <c r="O283" s="23">
        <v>1.21</v>
      </c>
      <c r="P283" s="23">
        <v>1.21</v>
      </c>
      <c r="Q283" s="23">
        <v>1.21</v>
      </c>
    </row>
    <row r="284" spans="1:17" s="24" customFormat="1" ht="12.75" customHeight="1">
      <c r="A284" s="22" t="s">
        <v>409</v>
      </c>
      <c r="B284" s="23">
        <v>2.23</v>
      </c>
      <c r="J284" s="23">
        <v>2.23</v>
      </c>
      <c r="K284" s="23">
        <v>2.23</v>
      </c>
      <c r="L284" s="23">
        <v>2.23</v>
      </c>
      <c r="M284" s="23">
        <v>2.23</v>
      </c>
      <c r="N284" s="23">
        <v>2.23</v>
      </c>
      <c r="O284" s="23">
        <v>2.23</v>
      </c>
      <c r="P284" s="23">
        <v>2.23</v>
      </c>
      <c r="Q284" s="23">
        <v>2.23</v>
      </c>
    </row>
    <row r="285" spans="1:17" s="24" customFormat="1" ht="12.75" customHeight="1">
      <c r="A285" s="22" t="s">
        <v>410</v>
      </c>
      <c r="B285" s="23">
        <v>1.86</v>
      </c>
      <c r="J285" s="23">
        <v>1.86</v>
      </c>
      <c r="K285" s="23">
        <v>1.86</v>
      </c>
      <c r="L285" s="23">
        <v>1.86</v>
      </c>
      <c r="M285" s="23">
        <v>1.86</v>
      </c>
      <c r="N285" s="23">
        <v>1.86</v>
      </c>
      <c r="O285" s="23">
        <v>1.86</v>
      </c>
      <c r="P285" s="23">
        <v>1.86</v>
      </c>
      <c r="Q285" s="23">
        <v>1.86</v>
      </c>
    </row>
    <row r="286" spans="1:17" s="24" customFormat="1" ht="12.75" customHeight="1">
      <c r="A286" s="22" t="s">
        <v>411</v>
      </c>
      <c r="B286" s="23">
        <v>2.12</v>
      </c>
      <c r="J286" s="23">
        <v>2.12</v>
      </c>
      <c r="K286" s="23">
        <v>2.12</v>
      </c>
      <c r="L286" s="23">
        <v>2.12</v>
      </c>
      <c r="M286" s="23">
        <v>2.12</v>
      </c>
      <c r="N286" s="23">
        <v>2.12</v>
      </c>
      <c r="O286" s="23">
        <v>2.12</v>
      </c>
      <c r="P286" s="23">
        <v>2.12</v>
      </c>
      <c r="Q286" s="23">
        <v>2.12</v>
      </c>
    </row>
    <row r="287" spans="1:17" s="24" customFormat="1" ht="12.75" customHeight="1">
      <c r="A287" s="22" t="s">
        <v>412</v>
      </c>
      <c r="B287" s="23">
        <v>2.59</v>
      </c>
      <c r="J287" s="23">
        <v>2.59</v>
      </c>
      <c r="K287" s="23">
        <v>2.59</v>
      </c>
      <c r="L287" s="23">
        <v>2.59</v>
      </c>
      <c r="M287" s="23">
        <v>2.59</v>
      </c>
      <c r="N287" s="23">
        <v>2.59</v>
      </c>
      <c r="O287" s="23">
        <v>2.59</v>
      </c>
      <c r="P287" s="23">
        <v>2.59</v>
      </c>
      <c r="Q287" s="23">
        <v>2.59</v>
      </c>
    </row>
    <row r="288" spans="1:17" s="24" customFormat="1" ht="12.75" customHeight="1">
      <c r="A288" s="22" t="s">
        <v>413</v>
      </c>
      <c r="B288" s="23">
        <v>2.12</v>
      </c>
      <c r="J288" s="23">
        <v>2.12</v>
      </c>
      <c r="K288" s="23">
        <v>2.12</v>
      </c>
      <c r="L288" s="23">
        <v>2.12</v>
      </c>
      <c r="M288" s="23">
        <v>2.12</v>
      </c>
      <c r="N288" s="23">
        <v>2.12</v>
      </c>
      <c r="O288" s="23">
        <v>2.12</v>
      </c>
      <c r="P288" s="23">
        <v>2.12</v>
      </c>
      <c r="Q288" s="23">
        <v>2.12</v>
      </c>
    </row>
    <row r="289" spans="1:17" s="24" customFormat="1" ht="12.75" customHeight="1">
      <c r="A289" s="22" t="s">
        <v>414</v>
      </c>
      <c r="B289" s="23">
        <v>1.21</v>
      </c>
      <c r="J289" s="23">
        <v>1.21</v>
      </c>
      <c r="K289" s="23">
        <v>1.21</v>
      </c>
      <c r="L289" s="23">
        <v>1.21</v>
      </c>
      <c r="M289" s="23">
        <v>1.21</v>
      </c>
      <c r="N289" s="23">
        <v>1.21</v>
      </c>
      <c r="O289" s="23">
        <v>1.21</v>
      </c>
      <c r="P289" s="23">
        <v>1.21</v>
      </c>
      <c r="Q289" s="23">
        <v>1.21</v>
      </c>
    </row>
    <row r="290" spans="1:17" s="24" customFormat="1" ht="12.75" customHeight="1">
      <c r="A290" s="22" t="s">
        <v>415</v>
      </c>
      <c r="B290" s="23">
        <v>1.74</v>
      </c>
      <c r="J290" s="23">
        <v>1.74</v>
      </c>
      <c r="K290" s="23">
        <v>1.74</v>
      </c>
      <c r="L290" s="23">
        <v>1.74</v>
      </c>
      <c r="M290" s="23">
        <v>1.74</v>
      </c>
      <c r="N290" s="23">
        <v>1.74</v>
      </c>
      <c r="O290" s="23">
        <v>1.74</v>
      </c>
      <c r="P290" s="23">
        <v>1.74</v>
      </c>
      <c r="Q290" s="23">
        <v>1.74</v>
      </c>
    </row>
    <row r="291" spans="1:17" s="24" customFormat="1" ht="12.75" customHeight="1">
      <c r="A291" s="22" t="s">
        <v>416</v>
      </c>
      <c r="B291" s="23">
        <v>2.59</v>
      </c>
      <c r="J291" s="23">
        <v>2.59</v>
      </c>
      <c r="K291" s="23">
        <v>2.59</v>
      </c>
      <c r="L291" s="23">
        <v>2.59</v>
      </c>
      <c r="M291" s="23">
        <v>2.59</v>
      </c>
      <c r="N291" s="23">
        <v>2.59</v>
      </c>
      <c r="O291" s="23">
        <v>2.59</v>
      </c>
      <c r="P291" s="23">
        <v>2.59</v>
      </c>
      <c r="Q291" s="23">
        <v>2.59</v>
      </c>
    </row>
    <row r="292" spans="1:17" s="24" customFormat="1" ht="12.75" customHeight="1">
      <c r="A292" s="22" t="s">
        <v>417</v>
      </c>
      <c r="B292" s="23">
        <v>2.12</v>
      </c>
      <c r="J292" s="23">
        <v>2.12</v>
      </c>
      <c r="K292" s="23">
        <v>2.12</v>
      </c>
      <c r="L292" s="23">
        <v>2.12</v>
      </c>
      <c r="M292" s="23">
        <v>2.12</v>
      </c>
      <c r="N292" s="23">
        <v>2.12</v>
      </c>
      <c r="O292" s="23">
        <v>2.12</v>
      </c>
      <c r="P292" s="23">
        <v>2.12</v>
      </c>
      <c r="Q292" s="23">
        <v>2.12</v>
      </c>
    </row>
    <row r="293" spans="1:17" s="24" customFormat="1" ht="12.75" customHeight="1">
      <c r="A293" s="22" t="s">
        <v>418</v>
      </c>
      <c r="B293" s="23">
        <v>1.86</v>
      </c>
      <c r="J293" s="23">
        <v>1.86</v>
      </c>
      <c r="K293" s="23">
        <v>1.86</v>
      </c>
      <c r="L293" s="23">
        <v>1.86</v>
      </c>
      <c r="M293" s="23">
        <v>1.86</v>
      </c>
      <c r="N293" s="23">
        <v>1.86</v>
      </c>
      <c r="O293" s="23">
        <v>1.86</v>
      </c>
      <c r="P293" s="23">
        <v>1.86</v>
      </c>
      <c r="Q293" s="23">
        <v>1.86</v>
      </c>
    </row>
    <row r="294" spans="1:17" s="24" customFormat="1" ht="12.75" customHeight="1">
      <c r="A294" s="22" t="s">
        <v>419</v>
      </c>
      <c r="B294" s="23">
        <v>2.12</v>
      </c>
      <c r="J294" s="23">
        <v>2.12</v>
      </c>
      <c r="K294" s="23">
        <v>2.12</v>
      </c>
      <c r="L294" s="23">
        <v>2.12</v>
      </c>
      <c r="M294" s="23">
        <v>2.12</v>
      </c>
      <c r="N294" s="23">
        <v>2.12</v>
      </c>
      <c r="O294" s="23">
        <v>2.12</v>
      </c>
      <c r="P294" s="23">
        <v>2.12</v>
      </c>
      <c r="Q294" s="23">
        <v>2.12</v>
      </c>
    </row>
    <row r="295" spans="1:17" s="24" customFormat="1" ht="12.75" customHeight="1">
      <c r="A295" s="22" t="s">
        <v>420</v>
      </c>
      <c r="B295" s="23">
        <v>2.23</v>
      </c>
      <c r="J295" s="23">
        <v>2.23</v>
      </c>
      <c r="K295" s="23">
        <v>2.23</v>
      </c>
      <c r="L295" s="23">
        <v>2.23</v>
      </c>
      <c r="M295" s="23">
        <v>2.23</v>
      </c>
      <c r="N295" s="23">
        <v>2.23</v>
      </c>
      <c r="O295" s="23">
        <v>2.23</v>
      </c>
      <c r="P295" s="23">
        <v>2.23</v>
      </c>
      <c r="Q295" s="23">
        <v>2.23</v>
      </c>
    </row>
    <row r="296" spans="1:17" s="24" customFormat="1" ht="12.75" customHeight="1">
      <c r="A296" s="22" t="s">
        <v>421</v>
      </c>
      <c r="B296" s="23">
        <v>1.86</v>
      </c>
      <c r="J296" s="23">
        <v>1.86</v>
      </c>
      <c r="K296" s="23">
        <v>1.86</v>
      </c>
      <c r="L296" s="23">
        <v>1.86</v>
      </c>
      <c r="M296" s="23">
        <v>1.86</v>
      </c>
      <c r="N296" s="23">
        <v>1.86</v>
      </c>
      <c r="O296" s="23">
        <v>1.86</v>
      </c>
      <c r="P296" s="23">
        <v>1.86</v>
      </c>
      <c r="Q296" s="23">
        <v>1.86</v>
      </c>
    </row>
    <row r="297" spans="1:17" s="24" customFormat="1" ht="12.75" customHeight="1">
      <c r="A297" s="22" t="s">
        <v>422</v>
      </c>
      <c r="B297" s="23">
        <v>2.59</v>
      </c>
      <c r="J297" s="23">
        <v>2.59</v>
      </c>
      <c r="K297" s="23">
        <v>2.59</v>
      </c>
      <c r="L297" s="23">
        <v>2.59</v>
      </c>
      <c r="M297" s="23">
        <v>2.59</v>
      </c>
      <c r="N297" s="23">
        <v>2.59</v>
      </c>
      <c r="O297" s="23">
        <v>2.59</v>
      </c>
      <c r="P297" s="23">
        <v>2.59</v>
      </c>
      <c r="Q297" s="23">
        <v>2.59</v>
      </c>
    </row>
    <row r="298" spans="1:17" s="24" customFormat="1" ht="12.75" customHeight="1">
      <c r="A298" s="22" t="s">
        <v>423</v>
      </c>
      <c r="B298" s="23">
        <v>1.21</v>
      </c>
      <c r="J298" s="23">
        <v>1.21</v>
      </c>
      <c r="K298" s="23">
        <v>1.21</v>
      </c>
      <c r="L298" s="23">
        <v>1.21</v>
      </c>
      <c r="M298" s="23">
        <v>1.21</v>
      </c>
      <c r="N298" s="23">
        <v>1.21</v>
      </c>
      <c r="O298" s="23">
        <v>1.21</v>
      </c>
      <c r="P298" s="23">
        <v>1.21</v>
      </c>
      <c r="Q298" s="23">
        <v>1.21</v>
      </c>
    </row>
    <row r="299" spans="1:17" s="24" customFormat="1" ht="12.75" customHeight="1">
      <c r="A299" s="22" t="s">
        <v>424</v>
      </c>
      <c r="B299" s="23">
        <v>1.86</v>
      </c>
      <c r="J299" s="23">
        <v>1.86</v>
      </c>
      <c r="K299" s="23">
        <v>1.86</v>
      </c>
      <c r="L299" s="23">
        <v>1.86</v>
      </c>
      <c r="M299" s="23">
        <v>1.86</v>
      </c>
      <c r="N299" s="23">
        <v>1.86</v>
      </c>
      <c r="O299" s="23">
        <v>1.86</v>
      </c>
      <c r="P299" s="23">
        <v>1.86</v>
      </c>
      <c r="Q299" s="23">
        <v>1.86</v>
      </c>
    </row>
    <row r="300" spans="1:17" s="24" customFormat="1" ht="12.75" customHeight="1">
      <c r="A300" s="22" t="s">
        <v>425</v>
      </c>
      <c r="B300" s="23">
        <v>0.7</v>
      </c>
      <c r="J300" s="23">
        <v>0.7</v>
      </c>
      <c r="K300" s="23">
        <v>0.7</v>
      </c>
      <c r="L300" s="23">
        <v>0.7</v>
      </c>
      <c r="M300" s="23">
        <v>0.7</v>
      </c>
      <c r="N300" s="23">
        <v>0.7</v>
      </c>
      <c r="O300" s="23">
        <v>0.7</v>
      </c>
      <c r="P300" s="23">
        <v>0.7</v>
      </c>
      <c r="Q300" s="23">
        <v>0.7</v>
      </c>
    </row>
    <row r="301" spans="1:17" s="24" customFormat="1" ht="12.75" customHeight="1">
      <c r="A301" s="22" t="s">
        <v>426</v>
      </c>
      <c r="B301" s="23">
        <v>1.47</v>
      </c>
      <c r="J301" s="23">
        <v>1.47</v>
      </c>
      <c r="K301" s="23">
        <v>1.47</v>
      </c>
      <c r="L301" s="23">
        <v>1.47</v>
      </c>
      <c r="M301" s="23">
        <v>1.47</v>
      </c>
      <c r="N301" s="23">
        <v>1.47</v>
      </c>
      <c r="O301" s="23">
        <v>1.47</v>
      </c>
      <c r="P301" s="23">
        <v>1.47</v>
      </c>
      <c r="Q301" s="23">
        <v>1.47</v>
      </c>
    </row>
    <row r="302" spans="1:17" s="24" customFormat="1" ht="12.75" customHeight="1">
      <c r="A302" s="22" t="s">
        <v>427</v>
      </c>
      <c r="B302" s="23">
        <v>1.21</v>
      </c>
      <c r="J302" s="23">
        <v>1.21</v>
      </c>
      <c r="K302" s="23">
        <v>1.21</v>
      </c>
      <c r="L302" s="23">
        <v>1.21</v>
      </c>
      <c r="M302" s="23">
        <v>1.21</v>
      </c>
      <c r="N302" s="23">
        <v>1.21</v>
      </c>
      <c r="O302" s="23">
        <v>1.21</v>
      </c>
      <c r="P302" s="23">
        <v>1.21</v>
      </c>
      <c r="Q302" s="23">
        <v>1.21</v>
      </c>
    </row>
    <row r="303" spans="1:17" s="24" customFormat="1" ht="12.75" customHeight="1">
      <c r="A303" s="22" t="s">
        <v>428</v>
      </c>
      <c r="B303" s="23">
        <v>2.12</v>
      </c>
      <c r="J303" s="23">
        <v>2.12</v>
      </c>
      <c r="K303" s="23">
        <v>2.12</v>
      </c>
      <c r="L303" s="23">
        <v>2.12</v>
      </c>
      <c r="M303" s="23">
        <v>2.12</v>
      </c>
      <c r="N303" s="23">
        <v>2.12</v>
      </c>
      <c r="O303" s="23">
        <v>2.12</v>
      </c>
      <c r="P303" s="23">
        <v>2.12</v>
      </c>
      <c r="Q303" s="23">
        <v>2.12</v>
      </c>
    </row>
    <row r="304" spans="1:17" s="24" customFormat="1" ht="12.75" customHeight="1">
      <c r="A304" s="22" t="s">
        <v>429</v>
      </c>
      <c r="B304" s="23">
        <v>2.12</v>
      </c>
      <c r="J304" s="23">
        <v>2.12</v>
      </c>
      <c r="K304" s="23">
        <v>2.12</v>
      </c>
      <c r="L304" s="23">
        <v>2.12</v>
      </c>
      <c r="M304" s="23">
        <v>2.12</v>
      </c>
      <c r="N304" s="23">
        <v>2.12</v>
      </c>
      <c r="O304" s="23">
        <v>2.12</v>
      </c>
      <c r="P304" s="23">
        <v>2.12</v>
      </c>
      <c r="Q304" s="23">
        <v>2.12</v>
      </c>
    </row>
    <row r="305" spans="1:17" s="24" customFormat="1" ht="12.75" customHeight="1">
      <c r="A305" s="22" t="s">
        <v>430</v>
      </c>
      <c r="B305" s="23">
        <v>1.21</v>
      </c>
      <c r="J305" s="23">
        <v>1.21</v>
      </c>
      <c r="K305" s="23">
        <v>1.21</v>
      </c>
      <c r="L305" s="23">
        <v>1.21</v>
      </c>
      <c r="M305" s="23">
        <v>1.21</v>
      </c>
      <c r="N305" s="23">
        <v>1.21</v>
      </c>
      <c r="O305" s="23">
        <v>1.21</v>
      </c>
      <c r="P305" s="23">
        <v>1.21</v>
      </c>
      <c r="Q305" s="23">
        <v>1.21</v>
      </c>
    </row>
    <row r="306" spans="1:17" s="24" customFormat="1" ht="12.75" customHeight="1">
      <c r="A306" s="22" t="s">
        <v>431</v>
      </c>
      <c r="B306" s="23">
        <v>2.12</v>
      </c>
      <c r="J306" s="23">
        <v>2.12</v>
      </c>
      <c r="K306" s="23">
        <v>2.12</v>
      </c>
      <c r="L306" s="23">
        <v>2.12</v>
      </c>
      <c r="M306" s="23">
        <v>2.12</v>
      </c>
      <c r="N306" s="23">
        <v>2.12</v>
      </c>
      <c r="O306" s="23">
        <v>2.12</v>
      </c>
      <c r="P306" s="23">
        <v>2.12</v>
      </c>
      <c r="Q306" s="23">
        <v>2.12</v>
      </c>
    </row>
    <row r="307" spans="1:17" s="24" customFormat="1" ht="12.75" customHeight="1">
      <c r="A307" s="22" t="s">
        <v>432</v>
      </c>
      <c r="B307" s="23">
        <v>2.12</v>
      </c>
      <c r="J307" s="23">
        <v>2.12</v>
      </c>
      <c r="K307" s="23">
        <v>2.12</v>
      </c>
      <c r="L307" s="23">
        <v>2.12</v>
      </c>
      <c r="M307" s="23">
        <v>2.12</v>
      </c>
      <c r="N307" s="23">
        <v>2.12</v>
      </c>
      <c r="O307" s="23">
        <v>2.12</v>
      </c>
      <c r="P307" s="23">
        <v>2.12</v>
      </c>
      <c r="Q307" s="23">
        <v>2.12</v>
      </c>
    </row>
    <row r="308" spans="1:17" s="24" customFormat="1" ht="12.75" customHeight="1">
      <c r="A308" s="22" t="s">
        <v>433</v>
      </c>
      <c r="B308" s="23">
        <v>1.86</v>
      </c>
      <c r="J308" s="23">
        <v>1.86</v>
      </c>
      <c r="K308" s="23">
        <v>1.86</v>
      </c>
      <c r="L308" s="23">
        <v>1.86</v>
      </c>
      <c r="M308" s="23">
        <v>1.86</v>
      </c>
      <c r="N308" s="23">
        <v>1.86</v>
      </c>
      <c r="O308" s="23">
        <v>1.86</v>
      </c>
      <c r="P308" s="23">
        <v>1.86</v>
      </c>
      <c r="Q308" s="23">
        <v>1.86</v>
      </c>
    </row>
    <row r="309" spans="1:17" s="24" customFormat="1" ht="12.75" customHeight="1">
      <c r="A309" s="22" t="s">
        <v>434</v>
      </c>
      <c r="B309" s="23">
        <v>1.74</v>
      </c>
      <c r="J309" s="23">
        <v>1.74</v>
      </c>
      <c r="K309" s="23">
        <v>1.74</v>
      </c>
      <c r="L309" s="23">
        <v>1.74</v>
      </c>
      <c r="M309" s="23">
        <v>1.74</v>
      </c>
      <c r="N309" s="23">
        <v>1.74</v>
      </c>
      <c r="O309" s="23">
        <v>1.74</v>
      </c>
      <c r="P309" s="23">
        <v>1.74</v>
      </c>
      <c r="Q309" s="23">
        <v>1.74</v>
      </c>
    </row>
    <row r="310" spans="1:17" s="24" customFormat="1" ht="12.75" customHeight="1">
      <c r="A310" s="22" t="s">
        <v>435</v>
      </c>
      <c r="B310" s="23">
        <v>2.12</v>
      </c>
      <c r="J310" s="23">
        <v>2.12</v>
      </c>
      <c r="K310" s="23">
        <v>2.12</v>
      </c>
      <c r="L310" s="23">
        <v>2.12</v>
      </c>
      <c r="M310" s="23">
        <v>2.12</v>
      </c>
      <c r="N310" s="23">
        <v>2.12</v>
      </c>
      <c r="O310" s="23">
        <v>2.12</v>
      </c>
      <c r="P310" s="23">
        <v>2.12</v>
      </c>
      <c r="Q310" s="23">
        <v>2.12</v>
      </c>
    </row>
    <row r="311" spans="1:17" s="24" customFormat="1" ht="12.75" customHeight="1">
      <c r="A311" s="22" t="s">
        <v>436</v>
      </c>
      <c r="B311" s="23">
        <v>2.12</v>
      </c>
      <c r="J311" s="23">
        <v>2.12</v>
      </c>
      <c r="K311" s="23">
        <v>2.12</v>
      </c>
      <c r="L311" s="23">
        <v>2.12</v>
      </c>
      <c r="M311" s="23">
        <v>2.12</v>
      </c>
      <c r="N311" s="23">
        <v>2.12</v>
      </c>
      <c r="O311" s="23">
        <v>2.12</v>
      </c>
      <c r="P311" s="23">
        <v>2.12</v>
      </c>
      <c r="Q311" s="23">
        <v>2.12</v>
      </c>
    </row>
    <row r="312" spans="1:17" s="24" customFormat="1" ht="12.75" customHeight="1">
      <c r="A312" s="22" t="s">
        <v>437</v>
      </c>
      <c r="B312" s="23">
        <v>1.74</v>
      </c>
      <c r="J312" s="23">
        <v>1.74</v>
      </c>
      <c r="K312" s="23">
        <v>1.74</v>
      </c>
      <c r="L312" s="23">
        <v>1.74</v>
      </c>
      <c r="M312" s="23">
        <v>1.74</v>
      </c>
      <c r="N312" s="23">
        <v>1.74</v>
      </c>
      <c r="O312" s="23">
        <v>1.74</v>
      </c>
      <c r="P312" s="23">
        <v>1.74</v>
      </c>
      <c r="Q312" s="23">
        <v>1.74</v>
      </c>
    </row>
    <row r="313" spans="1:17" s="24" customFormat="1" ht="12.75" customHeight="1">
      <c r="A313" s="22" t="s">
        <v>438</v>
      </c>
      <c r="B313" s="23">
        <v>2.12</v>
      </c>
      <c r="J313" s="23">
        <v>2.12</v>
      </c>
      <c r="K313" s="23">
        <v>2.12</v>
      </c>
      <c r="L313" s="23">
        <v>2.12</v>
      </c>
      <c r="M313" s="23">
        <v>2.12</v>
      </c>
      <c r="N313" s="23">
        <v>2.12</v>
      </c>
      <c r="O313" s="23">
        <v>2.12</v>
      </c>
      <c r="P313" s="23">
        <v>2.12</v>
      </c>
      <c r="Q313" s="23">
        <v>2.12</v>
      </c>
    </row>
    <row r="314" spans="1:17" s="24" customFormat="1" ht="12.75" customHeight="1">
      <c r="A314" s="22" t="s">
        <v>439</v>
      </c>
      <c r="B314" s="23">
        <v>2.23</v>
      </c>
      <c r="J314" s="23">
        <v>2.23</v>
      </c>
      <c r="K314" s="23">
        <v>2.23</v>
      </c>
      <c r="L314" s="23">
        <v>2.23</v>
      </c>
      <c r="M314" s="23">
        <v>2.23</v>
      </c>
      <c r="N314" s="23">
        <v>2.23</v>
      </c>
      <c r="O314" s="23">
        <v>2.23</v>
      </c>
      <c r="P314" s="23">
        <v>2.23</v>
      </c>
      <c r="Q314" s="23">
        <v>2.23</v>
      </c>
    </row>
    <row r="315" spans="1:17" s="24" customFormat="1" ht="12.75" customHeight="1">
      <c r="A315" s="22" t="s">
        <v>440</v>
      </c>
      <c r="B315" s="23">
        <v>2.59</v>
      </c>
      <c r="J315" s="23">
        <v>2.59</v>
      </c>
      <c r="K315" s="23">
        <v>2.59</v>
      </c>
      <c r="L315" s="23">
        <v>2.59</v>
      </c>
      <c r="M315" s="23">
        <v>2.59</v>
      </c>
      <c r="N315" s="23">
        <v>2.59</v>
      </c>
      <c r="O315" s="23">
        <v>2.59</v>
      </c>
      <c r="P315" s="23">
        <v>2.59</v>
      </c>
      <c r="Q315" s="23">
        <v>2.59</v>
      </c>
    </row>
    <row r="316" spans="1:17" s="24" customFormat="1" ht="12.75" customHeight="1">
      <c r="A316" s="22" t="s">
        <v>441</v>
      </c>
      <c r="B316" s="23">
        <v>1.74</v>
      </c>
      <c r="J316" s="23">
        <v>1.74</v>
      </c>
      <c r="K316" s="23">
        <v>1.74</v>
      </c>
      <c r="L316" s="23">
        <v>1.74</v>
      </c>
      <c r="M316" s="23">
        <v>1.74</v>
      </c>
      <c r="N316" s="23">
        <v>1.74</v>
      </c>
      <c r="O316" s="23">
        <v>1.74</v>
      </c>
      <c r="P316" s="23">
        <v>1.74</v>
      </c>
      <c r="Q316" s="23">
        <v>1.74</v>
      </c>
    </row>
    <row r="317" spans="1:17" s="24" customFormat="1" ht="12.75" customHeight="1">
      <c r="A317" s="22" t="s">
        <v>442</v>
      </c>
      <c r="B317" s="23">
        <v>1.74</v>
      </c>
      <c r="J317" s="23">
        <v>1.74</v>
      </c>
      <c r="K317" s="23">
        <v>1.74</v>
      </c>
      <c r="L317" s="23">
        <v>1.74</v>
      </c>
      <c r="M317" s="23">
        <v>1.74</v>
      </c>
      <c r="N317" s="23">
        <v>1.74</v>
      </c>
      <c r="O317" s="23">
        <v>1.74</v>
      </c>
      <c r="P317" s="23">
        <v>1.74</v>
      </c>
      <c r="Q317" s="23">
        <v>1.74</v>
      </c>
    </row>
    <row r="318" spans="1:17" s="24" customFormat="1" ht="12.75" customHeight="1">
      <c r="A318" s="22" t="s">
        <v>443</v>
      </c>
      <c r="B318" s="23">
        <v>1.21</v>
      </c>
      <c r="J318" s="23">
        <v>1.21</v>
      </c>
      <c r="K318" s="23">
        <v>1.21</v>
      </c>
      <c r="L318" s="23">
        <v>1.21</v>
      </c>
      <c r="M318" s="23">
        <v>1.21</v>
      </c>
      <c r="N318" s="23">
        <v>1.21</v>
      </c>
      <c r="O318" s="23">
        <v>1.21</v>
      </c>
      <c r="P318" s="23">
        <v>1.21</v>
      </c>
      <c r="Q318" s="23">
        <v>1.21</v>
      </c>
    </row>
    <row r="319" spans="1:17" s="24" customFormat="1" ht="12.75" customHeight="1">
      <c r="A319" s="22" t="s">
        <v>444</v>
      </c>
      <c r="B319" s="23">
        <v>1.21</v>
      </c>
      <c r="J319" s="23">
        <v>1.21</v>
      </c>
      <c r="K319" s="23">
        <v>1.21</v>
      </c>
      <c r="L319" s="23">
        <v>1.21</v>
      </c>
      <c r="M319" s="23">
        <v>1.21</v>
      </c>
      <c r="N319" s="23">
        <v>1.21</v>
      </c>
      <c r="O319" s="23">
        <v>1.21</v>
      </c>
      <c r="P319" s="23">
        <v>1.21</v>
      </c>
      <c r="Q319" s="23">
        <v>1.21</v>
      </c>
    </row>
    <row r="320" spans="1:17" s="24" customFormat="1" ht="12.75" customHeight="1">
      <c r="A320" s="22" t="s">
        <v>445</v>
      </c>
      <c r="B320" s="23">
        <v>1.86</v>
      </c>
      <c r="J320" s="23">
        <v>1.86</v>
      </c>
      <c r="K320" s="23">
        <v>1.86</v>
      </c>
      <c r="L320" s="23">
        <v>1.86</v>
      </c>
      <c r="M320" s="23">
        <v>1.86</v>
      </c>
      <c r="N320" s="23">
        <v>1.86</v>
      </c>
      <c r="O320" s="23">
        <v>1.86</v>
      </c>
      <c r="P320" s="23">
        <v>1.86</v>
      </c>
      <c r="Q320" s="23">
        <v>1.86</v>
      </c>
    </row>
    <row r="321" spans="1:17" s="24" customFormat="1" ht="12.75" customHeight="1">
      <c r="A321" s="22" t="s">
        <v>446</v>
      </c>
      <c r="B321" s="23">
        <v>2.23</v>
      </c>
      <c r="J321" s="23">
        <v>2.23</v>
      </c>
      <c r="K321" s="23">
        <v>2.23</v>
      </c>
      <c r="L321" s="23">
        <v>2.23</v>
      </c>
      <c r="M321" s="23">
        <v>2.23</v>
      </c>
      <c r="N321" s="23">
        <v>2.23</v>
      </c>
      <c r="O321" s="23">
        <v>2.23</v>
      </c>
      <c r="P321" s="23">
        <v>2.23</v>
      </c>
      <c r="Q321" s="23">
        <v>2.23</v>
      </c>
    </row>
    <row r="322" spans="1:17" s="24" customFormat="1" ht="12.75" customHeight="1">
      <c r="A322" s="22" t="s">
        <v>447</v>
      </c>
      <c r="B322" s="23">
        <v>2.59</v>
      </c>
      <c r="J322" s="23">
        <v>2.59</v>
      </c>
      <c r="K322" s="23">
        <v>2.59</v>
      </c>
      <c r="L322" s="23">
        <v>2.59</v>
      </c>
      <c r="M322" s="23">
        <v>2.59</v>
      </c>
      <c r="N322" s="23">
        <v>2.59</v>
      </c>
      <c r="O322" s="23">
        <v>2.59</v>
      </c>
      <c r="P322" s="23">
        <v>2.59</v>
      </c>
      <c r="Q322" s="23">
        <v>2.59</v>
      </c>
    </row>
    <row r="323" spans="1:17" s="24" customFormat="1" ht="12.75" customHeight="1">
      <c r="A323" s="22" t="s">
        <v>448</v>
      </c>
      <c r="B323" s="23">
        <v>2.12</v>
      </c>
      <c r="J323" s="23">
        <v>2.12</v>
      </c>
      <c r="K323" s="23">
        <v>2.12</v>
      </c>
      <c r="L323" s="23">
        <v>2.12</v>
      </c>
      <c r="M323" s="23">
        <v>2.12</v>
      </c>
      <c r="N323" s="23">
        <v>2.12</v>
      </c>
      <c r="O323" s="23">
        <v>2.12</v>
      </c>
      <c r="P323" s="23">
        <v>2.12</v>
      </c>
      <c r="Q323" s="23">
        <v>2.12</v>
      </c>
    </row>
    <row r="324" spans="1:17" s="24" customFormat="1" ht="12.75" customHeight="1">
      <c r="A324" s="26" t="s">
        <v>449</v>
      </c>
      <c r="B324" s="23">
        <v>2.12</v>
      </c>
      <c r="J324" s="23">
        <v>2.12</v>
      </c>
      <c r="K324" s="23">
        <v>2.12</v>
      </c>
      <c r="L324" s="23">
        <v>2.12</v>
      </c>
      <c r="M324" s="23">
        <v>2.12</v>
      </c>
      <c r="N324" s="23">
        <v>2.12</v>
      </c>
      <c r="O324" s="23">
        <v>2.12</v>
      </c>
      <c r="P324" s="23">
        <v>2.12</v>
      </c>
      <c r="Q324" s="23">
        <v>2.12</v>
      </c>
    </row>
    <row r="325" spans="1:17" s="24" customFormat="1" ht="12.75" customHeight="1">
      <c r="A325" s="22" t="s">
        <v>450</v>
      </c>
      <c r="B325" s="23">
        <v>2.59</v>
      </c>
      <c r="J325" s="23">
        <v>2.59</v>
      </c>
      <c r="K325" s="23">
        <v>2.59</v>
      </c>
      <c r="L325" s="23">
        <v>2.59</v>
      </c>
      <c r="M325" s="23">
        <v>2.59</v>
      </c>
      <c r="N325" s="23">
        <v>2.59</v>
      </c>
      <c r="O325" s="23">
        <v>2.59</v>
      </c>
      <c r="P325" s="23">
        <v>2.59</v>
      </c>
      <c r="Q325" s="23">
        <v>2.59</v>
      </c>
    </row>
    <row r="326" spans="1:17" s="24" customFormat="1" ht="12.75" customHeight="1">
      <c r="A326" s="22" t="s">
        <v>451</v>
      </c>
      <c r="B326" s="23">
        <v>2.23</v>
      </c>
      <c r="J326" s="23">
        <v>2.23</v>
      </c>
      <c r="K326" s="23">
        <v>2.23</v>
      </c>
      <c r="L326" s="23">
        <v>2.23</v>
      </c>
      <c r="M326" s="23">
        <v>2.23</v>
      </c>
      <c r="N326" s="23">
        <v>2.23</v>
      </c>
      <c r="O326" s="23">
        <v>2.23</v>
      </c>
      <c r="P326" s="23">
        <v>2.23</v>
      </c>
      <c r="Q326" s="23">
        <v>2.23</v>
      </c>
    </row>
    <row r="327" spans="1:17" s="24" customFormat="1" ht="12.75" customHeight="1">
      <c r="A327" s="22" t="s">
        <v>452</v>
      </c>
      <c r="B327" s="23">
        <v>1.74</v>
      </c>
      <c r="J327" s="23">
        <v>1.74</v>
      </c>
      <c r="K327" s="23">
        <v>1.74</v>
      </c>
      <c r="L327" s="23">
        <v>1.74</v>
      </c>
      <c r="M327" s="23">
        <v>1.74</v>
      </c>
      <c r="N327" s="23">
        <v>1.74</v>
      </c>
      <c r="O327" s="23">
        <v>1.74</v>
      </c>
      <c r="P327" s="23">
        <v>1.74</v>
      </c>
      <c r="Q327" s="23">
        <v>1.74</v>
      </c>
    </row>
    <row r="328" spans="1:17" s="24" customFormat="1" ht="12.75" customHeight="1">
      <c r="A328" s="22" t="s">
        <v>453</v>
      </c>
      <c r="B328" s="23">
        <v>2.59</v>
      </c>
      <c r="J328" s="23">
        <v>2.59</v>
      </c>
      <c r="K328" s="23">
        <v>2.59</v>
      </c>
      <c r="L328" s="23">
        <v>2.59</v>
      </c>
      <c r="M328" s="23">
        <v>2.59</v>
      </c>
      <c r="N328" s="23">
        <v>2.59</v>
      </c>
      <c r="O328" s="23">
        <v>2.59</v>
      </c>
      <c r="P328" s="23">
        <v>2.59</v>
      </c>
      <c r="Q328" s="23">
        <v>2.59</v>
      </c>
    </row>
    <row r="329" spans="1:17" s="24" customFormat="1" ht="12.75" customHeight="1">
      <c r="A329" s="22" t="s">
        <v>454</v>
      </c>
      <c r="B329" s="23">
        <v>2.12</v>
      </c>
      <c r="J329" s="23">
        <v>2.12</v>
      </c>
      <c r="K329" s="23">
        <v>2.12</v>
      </c>
      <c r="L329" s="23">
        <v>2.12</v>
      </c>
      <c r="M329" s="23">
        <v>2.12</v>
      </c>
      <c r="N329" s="23">
        <v>2.12</v>
      </c>
      <c r="O329" s="23">
        <v>2.12</v>
      </c>
      <c r="P329" s="23">
        <v>2.12</v>
      </c>
      <c r="Q329" s="23">
        <v>2.12</v>
      </c>
    </row>
    <row r="330" spans="1:17" s="24" customFormat="1" ht="12.75" customHeight="1">
      <c r="A330" s="22" t="s">
        <v>455</v>
      </c>
      <c r="B330" s="23">
        <v>12</v>
      </c>
      <c r="J330" s="23">
        <v>12</v>
      </c>
      <c r="K330" s="23">
        <v>12</v>
      </c>
      <c r="L330" s="23">
        <v>12</v>
      </c>
      <c r="M330" s="23">
        <v>12</v>
      </c>
      <c r="N330" s="23">
        <v>12</v>
      </c>
      <c r="O330" s="23">
        <v>12</v>
      </c>
      <c r="P330" s="23">
        <v>12</v>
      </c>
      <c r="Q330" s="23">
        <v>12</v>
      </c>
    </row>
    <row r="331" spans="1:17" s="24" customFormat="1" ht="12.75" customHeight="1">
      <c r="A331" s="22" t="s">
        <v>456</v>
      </c>
      <c r="B331" s="23">
        <v>1.86</v>
      </c>
      <c r="J331" s="23">
        <v>1.86</v>
      </c>
      <c r="K331" s="23">
        <v>1.86</v>
      </c>
      <c r="L331" s="23">
        <v>1.86</v>
      </c>
      <c r="M331" s="23">
        <v>1.86</v>
      </c>
      <c r="N331" s="23">
        <v>1.86</v>
      </c>
      <c r="O331" s="23">
        <v>1.86</v>
      </c>
      <c r="P331" s="23">
        <v>1.86</v>
      </c>
      <c r="Q331" s="23">
        <v>1.86</v>
      </c>
    </row>
    <row r="332" spans="1:17" s="24" customFormat="1" ht="12.75" customHeight="1">
      <c r="A332" s="22" t="s">
        <v>457</v>
      </c>
      <c r="B332" s="23">
        <v>1.86</v>
      </c>
      <c r="J332" s="23">
        <v>1.86</v>
      </c>
      <c r="K332" s="23">
        <v>1.86</v>
      </c>
      <c r="L332" s="23">
        <v>1.86</v>
      </c>
      <c r="M332" s="23">
        <v>1.86</v>
      </c>
      <c r="N332" s="23">
        <v>1.86</v>
      </c>
      <c r="O332" s="23">
        <v>1.86</v>
      </c>
      <c r="P332" s="23">
        <v>1.86</v>
      </c>
      <c r="Q332" s="23">
        <v>1.86</v>
      </c>
    </row>
    <row r="333" spans="1:17" s="24" customFormat="1" ht="12.75" customHeight="1">
      <c r="A333" s="22" t="s">
        <v>458</v>
      </c>
      <c r="B333" s="23">
        <v>1.74</v>
      </c>
      <c r="J333" s="23">
        <v>1.74</v>
      </c>
      <c r="K333" s="23">
        <v>1.74</v>
      </c>
      <c r="L333" s="23">
        <v>1.74</v>
      </c>
      <c r="M333" s="23">
        <v>1.74</v>
      </c>
      <c r="N333" s="23">
        <v>1.74</v>
      </c>
      <c r="O333" s="23">
        <v>1.74</v>
      </c>
      <c r="P333" s="23">
        <v>1.74</v>
      </c>
      <c r="Q333" s="23">
        <v>1.74</v>
      </c>
    </row>
    <row r="334" spans="1:17" s="24" customFormat="1" ht="12.75" customHeight="1">
      <c r="A334" s="22" t="s">
        <v>459</v>
      </c>
      <c r="B334" s="23">
        <v>1.74</v>
      </c>
      <c r="J334" s="23">
        <v>1.74</v>
      </c>
      <c r="K334" s="23">
        <v>1.74</v>
      </c>
      <c r="L334" s="23">
        <v>1.74</v>
      </c>
      <c r="M334" s="23">
        <v>1.74</v>
      </c>
      <c r="N334" s="23">
        <v>1.74</v>
      </c>
      <c r="O334" s="23">
        <v>1.74</v>
      </c>
      <c r="P334" s="23">
        <v>1.74</v>
      </c>
      <c r="Q334" s="23">
        <v>1.74</v>
      </c>
    </row>
    <row r="335" spans="1:17" s="24" customFormat="1" ht="12.75" customHeight="1">
      <c r="A335" s="22" t="s">
        <v>460</v>
      </c>
      <c r="B335" s="23">
        <v>2.12</v>
      </c>
      <c r="J335" s="23">
        <v>2.12</v>
      </c>
      <c r="K335" s="23">
        <v>2.12</v>
      </c>
      <c r="L335" s="23">
        <v>2.12</v>
      </c>
      <c r="M335" s="23">
        <v>2.12</v>
      </c>
      <c r="N335" s="23">
        <v>2.12</v>
      </c>
      <c r="O335" s="23">
        <v>2.12</v>
      </c>
      <c r="P335" s="23">
        <v>2.12</v>
      </c>
      <c r="Q335" s="23">
        <v>2.12</v>
      </c>
    </row>
    <row r="336" spans="1:17" s="24" customFormat="1" ht="12.75" customHeight="1">
      <c r="A336" s="22" t="s">
        <v>461</v>
      </c>
      <c r="B336" s="23">
        <v>2.23</v>
      </c>
      <c r="J336" s="23">
        <v>2.23</v>
      </c>
      <c r="K336" s="23">
        <v>2.23</v>
      </c>
      <c r="L336" s="23">
        <v>2.23</v>
      </c>
      <c r="M336" s="23">
        <v>2.23</v>
      </c>
      <c r="N336" s="23">
        <v>2.23</v>
      </c>
      <c r="O336" s="23">
        <v>2.23</v>
      </c>
      <c r="P336" s="23">
        <v>2.23</v>
      </c>
      <c r="Q336" s="23">
        <v>2.23</v>
      </c>
    </row>
    <row r="337" spans="1:17" s="24" customFormat="1" ht="12.75" customHeight="1">
      <c r="A337" s="22" t="s">
        <v>462</v>
      </c>
      <c r="B337" s="23">
        <v>2.12</v>
      </c>
      <c r="J337" s="23">
        <v>2.12</v>
      </c>
      <c r="K337" s="23">
        <v>2.12</v>
      </c>
      <c r="L337" s="23">
        <v>2.12</v>
      </c>
      <c r="M337" s="23">
        <v>2.12</v>
      </c>
      <c r="N337" s="23">
        <v>2.12</v>
      </c>
      <c r="O337" s="23">
        <v>2.12</v>
      </c>
      <c r="P337" s="23">
        <v>2.12</v>
      </c>
      <c r="Q337" s="23">
        <v>2.12</v>
      </c>
    </row>
    <row r="338" spans="1:17" s="24" customFormat="1" ht="12.75" customHeight="1">
      <c r="A338" s="22" t="s">
        <v>463</v>
      </c>
      <c r="B338" s="23">
        <v>1.86</v>
      </c>
      <c r="J338" s="23">
        <v>1.86</v>
      </c>
      <c r="K338" s="23">
        <v>1.86</v>
      </c>
      <c r="L338" s="23">
        <v>1.86</v>
      </c>
      <c r="M338" s="23">
        <v>1.86</v>
      </c>
      <c r="N338" s="23">
        <v>1.86</v>
      </c>
      <c r="O338" s="23">
        <v>1.86</v>
      </c>
      <c r="P338" s="23">
        <v>1.86</v>
      </c>
      <c r="Q338" s="23">
        <v>1.86</v>
      </c>
    </row>
    <row r="339" spans="1:17" s="24" customFormat="1" ht="12.75" customHeight="1">
      <c r="A339" s="22" t="s">
        <v>464</v>
      </c>
      <c r="B339" s="23">
        <v>2.12</v>
      </c>
      <c r="J339" s="23">
        <v>2.12</v>
      </c>
      <c r="K339" s="23">
        <v>2.12</v>
      </c>
      <c r="L339" s="23">
        <v>2.12</v>
      </c>
      <c r="M339" s="23">
        <v>2.12</v>
      </c>
      <c r="N339" s="23">
        <v>2.12</v>
      </c>
      <c r="O339" s="23">
        <v>2.12</v>
      </c>
      <c r="P339" s="23">
        <v>2.12</v>
      </c>
      <c r="Q339" s="23">
        <v>2.12</v>
      </c>
    </row>
    <row r="340" spans="1:17" s="24" customFormat="1" ht="12.75" customHeight="1">
      <c r="A340" s="22" t="s">
        <v>465</v>
      </c>
      <c r="B340" s="23">
        <v>1.21</v>
      </c>
      <c r="J340" s="23">
        <v>1.21</v>
      </c>
      <c r="K340" s="23">
        <v>1.21</v>
      </c>
      <c r="L340" s="23">
        <v>1.21</v>
      </c>
      <c r="M340" s="23">
        <v>1.21</v>
      </c>
      <c r="N340" s="23">
        <v>1.21</v>
      </c>
      <c r="O340" s="23">
        <v>1.21</v>
      </c>
      <c r="P340" s="23">
        <v>1.21</v>
      </c>
      <c r="Q340" s="23">
        <v>1.21</v>
      </c>
    </row>
    <row r="341" spans="1:17" s="24" customFormat="1" ht="12.75" customHeight="1">
      <c r="A341" s="22" t="s">
        <v>466</v>
      </c>
      <c r="B341" s="23">
        <v>2.23</v>
      </c>
      <c r="J341" s="23">
        <v>2.23</v>
      </c>
      <c r="K341" s="23">
        <v>2.23</v>
      </c>
      <c r="L341" s="23">
        <v>2.23</v>
      </c>
      <c r="M341" s="23">
        <v>2.23</v>
      </c>
      <c r="N341" s="23">
        <v>2.23</v>
      </c>
      <c r="O341" s="23">
        <v>2.23</v>
      </c>
      <c r="P341" s="23">
        <v>2.23</v>
      </c>
      <c r="Q341" s="23">
        <v>2.23</v>
      </c>
    </row>
    <row r="342" spans="1:17" s="24" customFormat="1" ht="12.75" customHeight="1">
      <c r="A342" s="22" t="s">
        <v>467</v>
      </c>
      <c r="B342" s="23">
        <v>2.12</v>
      </c>
      <c r="J342" s="23">
        <v>2.12</v>
      </c>
      <c r="K342" s="23">
        <v>2.12</v>
      </c>
      <c r="L342" s="23">
        <v>2.12</v>
      </c>
      <c r="M342" s="23">
        <v>2.12</v>
      </c>
      <c r="N342" s="23">
        <v>2.12</v>
      </c>
      <c r="O342" s="23">
        <v>2.12</v>
      </c>
      <c r="P342" s="23">
        <v>2.12</v>
      </c>
      <c r="Q342" s="23">
        <v>2.12</v>
      </c>
    </row>
    <row r="343" spans="1:17" s="24" customFormat="1" ht="12.75" customHeight="1">
      <c r="A343" s="22" t="s">
        <v>468</v>
      </c>
      <c r="B343" s="23">
        <v>2.12</v>
      </c>
      <c r="J343" s="23">
        <v>2.12</v>
      </c>
      <c r="K343" s="23">
        <v>2.12</v>
      </c>
      <c r="L343" s="23">
        <v>2.12</v>
      </c>
      <c r="M343" s="23">
        <v>2.12</v>
      </c>
      <c r="N343" s="23">
        <v>2.12</v>
      </c>
      <c r="O343" s="23">
        <v>2.12</v>
      </c>
      <c r="P343" s="23">
        <v>2.12</v>
      </c>
      <c r="Q343" s="23">
        <v>2.12</v>
      </c>
    </row>
    <row r="344" spans="1:17" s="24" customFormat="1" ht="12.75" customHeight="1">
      <c r="A344" s="22" t="s">
        <v>469</v>
      </c>
      <c r="B344" s="23">
        <v>1.21</v>
      </c>
      <c r="J344" s="23">
        <v>1.21</v>
      </c>
      <c r="K344" s="23">
        <v>1.21</v>
      </c>
      <c r="L344" s="23">
        <v>1.21</v>
      </c>
      <c r="M344" s="23">
        <v>1.21</v>
      </c>
      <c r="N344" s="23">
        <v>1.21</v>
      </c>
      <c r="O344" s="23">
        <v>1.21</v>
      </c>
      <c r="P344" s="23">
        <v>1.21</v>
      </c>
      <c r="Q344" s="23">
        <v>1.21</v>
      </c>
    </row>
    <row r="345" spans="1:17" s="24" customFormat="1" ht="12.75" customHeight="1">
      <c r="A345" s="22" t="s">
        <v>470</v>
      </c>
      <c r="B345" s="23">
        <v>2.12</v>
      </c>
      <c r="J345" s="23">
        <v>2.12</v>
      </c>
      <c r="K345" s="23">
        <v>2.12</v>
      </c>
      <c r="L345" s="23">
        <v>2.12</v>
      </c>
      <c r="M345" s="23">
        <v>2.12</v>
      </c>
      <c r="N345" s="23">
        <v>2.12</v>
      </c>
      <c r="O345" s="23">
        <v>2.12</v>
      </c>
      <c r="P345" s="23">
        <v>2.12</v>
      </c>
      <c r="Q345" s="23">
        <v>2.12</v>
      </c>
    </row>
    <row r="346" spans="1:17" s="24" customFormat="1" ht="12.75" customHeight="1">
      <c r="A346" s="22" t="s">
        <v>471</v>
      </c>
      <c r="B346" s="23">
        <v>2.12</v>
      </c>
      <c r="J346" s="23">
        <v>2.12</v>
      </c>
      <c r="K346" s="23">
        <v>2.12</v>
      </c>
      <c r="L346" s="23">
        <v>2.12</v>
      </c>
      <c r="M346" s="23">
        <v>2.12</v>
      </c>
      <c r="N346" s="23">
        <v>2.12</v>
      </c>
      <c r="O346" s="23">
        <v>2.12</v>
      </c>
      <c r="P346" s="23">
        <v>2.12</v>
      </c>
      <c r="Q346" s="23">
        <v>2.12</v>
      </c>
    </row>
    <row r="347" spans="1:17" s="24" customFormat="1" ht="12.75" customHeight="1">
      <c r="A347" s="22" t="s">
        <v>472</v>
      </c>
      <c r="B347" s="23">
        <v>1.74</v>
      </c>
      <c r="J347" s="23">
        <v>1.74</v>
      </c>
      <c r="K347" s="23">
        <v>1.74</v>
      </c>
      <c r="L347" s="23">
        <v>1.74</v>
      </c>
      <c r="M347" s="23">
        <v>1.74</v>
      </c>
      <c r="N347" s="23">
        <v>1.74</v>
      </c>
      <c r="O347" s="23">
        <v>1.74</v>
      </c>
      <c r="P347" s="23">
        <v>1.74</v>
      </c>
      <c r="Q347" s="23">
        <v>1.74</v>
      </c>
    </row>
    <row r="348" spans="1:17" s="24" customFormat="1" ht="12.75" customHeight="1">
      <c r="A348" s="22" t="s">
        <v>473</v>
      </c>
      <c r="B348" s="23">
        <v>2.12</v>
      </c>
      <c r="J348" s="23">
        <v>2.12</v>
      </c>
      <c r="K348" s="23">
        <v>2.12</v>
      </c>
      <c r="L348" s="23">
        <v>2.12</v>
      </c>
      <c r="M348" s="23">
        <v>2.12</v>
      </c>
      <c r="N348" s="23">
        <v>2.12</v>
      </c>
      <c r="O348" s="23">
        <v>2.12</v>
      </c>
      <c r="P348" s="23">
        <v>2.12</v>
      </c>
      <c r="Q348" s="23">
        <v>2.12</v>
      </c>
    </row>
    <row r="349" spans="1:17" s="24" customFormat="1" ht="12.75" customHeight="1">
      <c r="A349" s="22" t="s">
        <v>474</v>
      </c>
      <c r="B349" s="23">
        <v>1.86</v>
      </c>
      <c r="J349" s="23">
        <v>1.86</v>
      </c>
      <c r="K349" s="23">
        <v>1.86</v>
      </c>
      <c r="L349" s="23">
        <v>1.86</v>
      </c>
      <c r="M349" s="23">
        <v>1.86</v>
      </c>
      <c r="N349" s="23">
        <v>1.86</v>
      </c>
      <c r="O349" s="23">
        <v>1.86</v>
      </c>
      <c r="P349" s="23">
        <v>1.86</v>
      </c>
      <c r="Q349" s="23">
        <v>1.86</v>
      </c>
    </row>
    <row r="350" spans="1:17" s="24" customFormat="1" ht="12.75" customHeight="1">
      <c r="A350" s="22" t="s">
        <v>475</v>
      </c>
      <c r="B350" s="23">
        <v>1.86</v>
      </c>
      <c r="J350" s="23">
        <v>1.86</v>
      </c>
      <c r="K350" s="23">
        <v>1.86</v>
      </c>
      <c r="L350" s="23">
        <v>1.86</v>
      </c>
      <c r="M350" s="23">
        <v>1.86</v>
      </c>
      <c r="N350" s="23">
        <v>1.86</v>
      </c>
      <c r="O350" s="23">
        <v>1.86</v>
      </c>
      <c r="P350" s="23">
        <v>1.86</v>
      </c>
      <c r="Q350" s="23">
        <v>1.86</v>
      </c>
    </row>
    <row r="351" spans="1:17" s="24" customFormat="1" ht="12.75" customHeight="1">
      <c r="A351" s="22" t="s">
        <v>476</v>
      </c>
      <c r="B351" s="23">
        <v>2.12</v>
      </c>
      <c r="J351" s="23">
        <v>2.12</v>
      </c>
      <c r="K351" s="23">
        <v>2.12</v>
      </c>
      <c r="L351" s="23">
        <v>2.12</v>
      </c>
      <c r="M351" s="23">
        <v>2.12</v>
      </c>
      <c r="N351" s="23">
        <v>2.12</v>
      </c>
      <c r="O351" s="23">
        <v>2.12</v>
      </c>
      <c r="P351" s="23">
        <v>2.12</v>
      </c>
      <c r="Q351" s="23">
        <v>2.12</v>
      </c>
    </row>
    <row r="352" spans="1:17" s="24" customFormat="1" ht="12.75" customHeight="1">
      <c r="A352" s="22" t="s">
        <v>477</v>
      </c>
      <c r="B352" s="23">
        <v>1.21</v>
      </c>
      <c r="J352" s="23">
        <v>1.21</v>
      </c>
      <c r="K352" s="23">
        <v>1.21</v>
      </c>
      <c r="L352" s="23">
        <v>1.21</v>
      </c>
      <c r="M352" s="23">
        <v>1.21</v>
      </c>
      <c r="N352" s="23">
        <v>1.21</v>
      </c>
      <c r="O352" s="23">
        <v>1.21</v>
      </c>
      <c r="P352" s="23">
        <v>1.21</v>
      </c>
      <c r="Q352" s="23">
        <v>1.21</v>
      </c>
    </row>
    <row r="353" spans="1:17" s="24" customFormat="1" ht="12.75" customHeight="1">
      <c r="A353" s="22" t="s">
        <v>478</v>
      </c>
      <c r="B353" s="23">
        <v>1.86</v>
      </c>
      <c r="J353" s="23">
        <v>1.86</v>
      </c>
      <c r="K353" s="23">
        <v>1.86</v>
      </c>
      <c r="L353" s="23">
        <v>1.86</v>
      </c>
      <c r="M353" s="23">
        <v>1.86</v>
      </c>
      <c r="N353" s="23">
        <v>1.86</v>
      </c>
      <c r="O353" s="23">
        <v>1.86</v>
      </c>
      <c r="P353" s="23">
        <v>1.86</v>
      </c>
      <c r="Q353" s="23">
        <v>1.86</v>
      </c>
    </row>
    <row r="354" spans="1:17" s="24" customFormat="1" ht="12.75" customHeight="1">
      <c r="A354" s="22" t="s">
        <v>479</v>
      </c>
      <c r="B354" s="23">
        <v>1.86</v>
      </c>
      <c r="J354" s="23">
        <v>1.86</v>
      </c>
      <c r="K354" s="23">
        <v>1.86</v>
      </c>
      <c r="L354" s="23">
        <v>1.86</v>
      </c>
      <c r="M354" s="23">
        <v>1.86</v>
      </c>
      <c r="N354" s="23">
        <v>1.86</v>
      </c>
      <c r="O354" s="23">
        <v>1.86</v>
      </c>
      <c r="P354" s="23">
        <v>1.86</v>
      </c>
      <c r="Q354" s="23">
        <v>1.86</v>
      </c>
    </row>
    <row r="355" spans="1:17" s="24" customFormat="1" ht="12.75" customHeight="1">
      <c r="A355" s="22" t="s">
        <v>480</v>
      </c>
      <c r="B355" s="23">
        <v>2.12</v>
      </c>
      <c r="J355" s="23">
        <v>2.12</v>
      </c>
      <c r="K355" s="23">
        <v>2.12</v>
      </c>
      <c r="L355" s="23">
        <v>2.12</v>
      </c>
      <c r="M355" s="23">
        <v>2.12</v>
      </c>
      <c r="N355" s="23">
        <v>2.12</v>
      </c>
      <c r="O355" s="23">
        <v>2.12</v>
      </c>
      <c r="P355" s="23">
        <v>2.12</v>
      </c>
      <c r="Q355" s="23">
        <v>2.12</v>
      </c>
    </row>
    <row r="356" spans="1:17" s="24" customFormat="1" ht="12.75" customHeight="1">
      <c r="A356" s="22" t="s">
        <v>481</v>
      </c>
      <c r="B356" s="23">
        <v>1.47</v>
      </c>
      <c r="J356" s="23">
        <v>1.47</v>
      </c>
      <c r="K356" s="23">
        <v>1.47</v>
      </c>
      <c r="L356" s="23">
        <v>1.47</v>
      </c>
      <c r="M356" s="23">
        <v>1.47</v>
      </c>
      <c r="N356" s="23">
        <v>1.47</v>
      </c>
      <c r="O356" s="23">
        <v>1.47</v>
      </c>
      <c r="P356" s="23">
        <v>1.47</v>
      </c>
      <c r="Q356" s="23">
        <v>1.47</v>
      </c>
    </row>
    <row r="357" spans="1:17" s="24" customFormat="1" ht="12.75" customHeight="1">
      <c r="A357" s="22" t="s">
        <v>482</v>
      </c>
      <c r="B357" s="23">
        <v>2.95</v>
      </c>
      <c r="J357" s="23">
        <v>2.95</v>
      </c>
      <c r="K357" s="23">
        <v>2.95</v>
      </c>
      <c r="L357" s="23">
        <v>2.95</v>
      </c>
      <c r="M357" s="23">
        <v>2.95</v>
      </c>
      <c r="N357" s="23">
        <v>2.95</v>
      </c>
      <c r="O357" s="23">
        <v>2.95</v>
      </c>
      <c r="P357" s="23">
        <v>2.95</v>
      </c>
      <c r="Q357" s="23">
        <v>2.95</v>
      </c>
    </row>
    <row r="358" spans="1:17" s="24" customFormat="1" ht="12.75" customHeight="1">
      <c r="A358" s="22" t="s">
        <v>483</v>
      </c>
      <c r="B358" s="23">
        <v>1.74</v>
      </c>
      <c r="J358" s="23">
        <v>1.74</v>
      </c>
      <c r="K358" s="23">
        <v>1.74</v>
      </c>
      <c r="L358" s="23">
        <v>1.74</v>
      </c>
      <c r="M358" s="23">
        <v>1.74</v>
      </c>
      <c r="N358" s="23">
        <v>1.74</v>
      </c>
      <c r="O358" s="23">
        <v>1.74</v>
      </c>
      <c r="P358" s="23">
        <v>1.74</v>
      </c>
      <c r="Q358" s="23">
        <v>1.74</v>
      </c>
    </row>
    <row r="359" spans="1:17" s="24" customFormat="1" ht="12.75" customHeight="1">
      <c r="A359" s="22" t="s">
        <v>484</v>
      </c>
      <c r="B359" s="23">
        <v>0.7</v>
      </c>
      <c r="J359" s="23">
        <v>0.7</v>
      </c>
      <c r="K359" s="23">
        <v>0.7</v>
      </c>
      <c r="L359" s="23">
        <v>0.7</v>
      </c>
      <c r="M359" s="23">
        <v>0.7</v>
      </c>
      <c r="N359" s="23">
        <v>0.7</v>
      </c>
      <c r="O359" s="23">
        <v>0.7</v>
      </c>
      <c r="P359" s="23">
        <v>0.7</v>
      </c>
      <c r="Q359" s="23">
        <v>0.7</v>
      </c>
    </row>
    <row r="360" spans="1:17" s="24" customFormat="1" ht="12.75" customHeight="1">
      <c r="A360" s="22" t="s">
        <v>485</v>
      </c>
      <c r="B360" s="23">
        <v>1.74</v>
      </c>
      <c r="J360" s="23">
        <v>1.74</v>
      </c>
      <c r="K360" s="23">
        <v>1.74</v>
      </c>
      <c r="L360" s="23">
        <v>1.74</v>
      </c>
      <c r="M360" s="23">
        <v>1.74</v>
      </c>
      <c r="N360" s="23">
        <v>1.74</v>
      </c>
      <c r="O360" s="23">
        <v>1.74</v>
      </c>
      <c r="P360" s="23">
        <v>1.74</v>
      </c>
      <c r="Q360" s="23">
        <v>1.74</v>
      </c>
    </row>
    <row r="361" spans="1:17" s="24" customFormat="1" ht="12.75" customHeight="1">
      <c r="A361" s="22" t="s">
        <v>486</v>
      </c>
      <c r="B361" s="23">
        <v>2.12</v>
      </c>
      <c r="J361" s="23">
        <v>2.12</v>
      </c>
      <c r="K361" s="23">
        <v>2.12</v>
      </c>
      <c r="L361" s="23">
        <v>2.12</v>
      </c>
      <c r="M361" s="23">
        <v>2.12</v>
      </c>
      <c r="N361" s="23">
        <v>2.12</v>
      </c>
      <c r="O361" s="23">
        <v>2.12</v>
      </c>
      <c r="P361" s="23">
        <v>2.12</v>
      </c>
      <c r="Q361" s="23">
        <v>2.12</v>
      </c>
    </row>
    <row r="362" spans="1:17" s="24" customFormat="1" ht="12.75" customHeight="1">
      <c r="A362" s="22" t="s">
        <v>487</v>
      </c>
      <c r="B362" s="23">
        <v>1.21</v>
      </c>
      <c r="J362" s="23">
        <v>1.21</v>
      </c>
      <c r="K362" s="23">
        <v>1.21</v>
      </c>
      <c r="L362" s="23">
        <v>1.21</v>
      </c>
      <c r="M362" s="23">
        <v>1.21</v>
      </c>
      <c r="N362" s="23">
        <v>1.21</v>
      </c>
      <c r="O362" s="23">
        <v>1.21</v>
      </c>
      <c r="P362" s="23">
        <v>1.21</v>
      </c>
      <c r="Q362" s="23">
        <v>1.21</v>
      </c>
    </row>
    <row r="363" spans="1:17" s="24" customFormat="1" ht="12.75" customHeight="1">
      <c r="A363" s="22" t="s">
        <v>488</v>
      </c>
      <c r="B363" s="23">
        <v>1.86</v>
      </c>
      <c r="J363" s="23">
        <v>1.86</v>
      </c>
      <c r="K363" s="23">
        <v>1.86</v>
      </c>
      <c r="L363" s="23">
        <v>1.86</v>
      </c>
      <c r="M363" s="23">
        <v>1.86</v>
      </c>
      <c r="N363" s="23">
        <v>1.86</v>
      </c>
      <c r="O363" s="23">
        <v>1.86</v>
      </c>
      <c r="P363" s="23">
        <v>1.86</v>
      </c>
      <c r="Q363" s="23">
        <v>1.86</v>
      </c>
    </row>
    <row r="364" spans="1:17" s="24" customFormat="1" ht="12.75" customHeight="1">
      <c r="A364" s="22" t="s">
        <v>489</v>
      </c>
      <c r="B364" s="23">
        <v>1.47</v>
      </c>
      <c r="J364" s="23">
        <v>1.47</v>
      </c>
      <c r="K364" s="23">
        <v>1.47</v>
      </c>
      <c r="L364" s="23">
        <v>1.47</v>
      </c>
      <c r="M364" s="23">
        <v>1.47</v>
      </c>
      <c r="N364" s="23">
        <v>1.47</v>
      </c>
      <c r="O364" s="23">
        <v>1.47</v>
      </c>
      <c r="P364" s="23">
        <v>1.47</v>
      </c>
      <c r="Q364" s="23">
        <v>1.47</v>
      </c>
    </row>
    <row r="365" spans="1:17" s="24" customFormat="1" ht="12.75" customHeight="1">
      <c r="A365" s="22" t="s">
        <v>490</v>
      </c>
      <c r="B365" s="23">
        <v>2.12</v>
      </c>
      <c r="J365" s="23">
        <v>2.12</v>
      </c>
      <c r="K365" s="23">
        <v>2.12</v>
      </c>
      <c r="L365" s="23">
        <v>2.12</v>
      </c>
      <c r="M365" s="23">
        <v>2.12</v>
      </c>
      <c r="N365" s="23">
        <v>2.12</v>
      </c>
      <c r="O365" s="23">
        <v>2.12</v>
      </c>
      <c r="P365" s="23">
        <v>2.12</v>
      </c>
      <c r="Q365" s="23">
        <v>2.12</v>
      </c>
    </row>
    <row r="366" spans="1:17" s="24" customFormat="1" ht="12.75" customHeight="1">
      <c r="A366" s="22" t="s">
        <v>491</v>
      </c>
      <c r="B366" s="23">
        <v>1.86</v>
      </c>
      <c r="J366" s="23">
        <v>1.86</v>
      </c>
      <c r="K366" s="23">
        <v>1.86</v>
      </c>
      <c r="L366" s="23">
        <v>1.86</v>
      </c>
      <c r="M366" s="23">
        <v>1.86</v>
      </c>
      <c r="N366" s="23">
        <v>1.86</v>
      </c>
      <c r="O366" s="23">
        <v>1.86</v>
      </c>
      <c r="P366" s="23">
        <v>1.86</v>
      </c>
      <c r="Q366" s="23">
        <v>1.86</v>
      </c>
    </row>
    <row r="367" spans="1:17" s="24" customFormat="1" ht="12.75" customHeight="1">
      <c r="A367" s="22" t="s">
        <v>492</v>
      </c>
      <c r="B367" s="23">
        <v>2.12</v>
      </c>
      <c r="J367" s="23">
        <v>2.12</v>
      </c>
      <c r="K367" s="23">
        <v>2.12</v>
      </c>
      <c r="L367" s="23">
        <v>2.12</v>
      </c>
      <c r="M367" s="23">
        <v>2.12</v>
      </c>
      <c r="N367" s="23">
        <v>2.12</v>
      </c>
      <c r="O367" s="23">
        <v>2.12</v>
      </c>
      <c r="P367" s="23">
        <v>2.12</v>
      </c>
      <c r="Q367" s="23">
        <v>2.12</v>
      </c>
    </row>
    <row r="368" spans="1:17" s="24" customFormat="1" ht="12.75" customHeight="1">
      <c r="A368" s="22" t="s">
        <v>493</v>
      </c>
      <c r="B368" s="23"/>
      <c r="J368" s="23"/>
      <c r="K368" s="23"/>
      <c r="L368" s="23"/>
      <c r="M368" s="23"/>
      <c r="N368" s="23"/>
      <c r="O368" s="23"/>
      <c r="P368" s="23"/>
      <c r="Q368" s="23"/>
    </row>
    <row r="369" spans="1:17" s="24" customFormat="1" ht="12.75" customHeight="1">
      <c r="A369" s="22" t="s">
        <v>494</v>
      </c>
      <c r="B369" s="23">
        <v>2.95</v>
      </c>
      <c r="J369" s="23">
        <v>2.95</v>
      </c>
      <c r="K369" s="23">
        <v>2.95</v>
      </c>
      <c r="L369" s="23">
        <v>2.95</v>
      </c>
      <c r="M369" s="23">
        <v>2.95</v>
      </c>
      <c r="N369" s="23">
        <v>2.95</v>
      </c>
      <c r="O369" s="23">
        <v>2.95</v>
      </c>
      <c r="P369" s="23">
        <v>2.95</v>
      </c>
      <c r="Q369" s="23">
        <v>2.95</v>
      </c>
    </row>
    <row r="370" spans="1:17" s="24" customFormat="1" ht="12.75" customHeight="1">
      <c r="A370" s="22" t="s">
        <v>495</v>
      </c>
      <c r="B370" s="23">
        <v>1.74</v>
      </c>
      <c r="J370" s="23">
        <v>1.74</v>
      </c>
      <c r="K370" s="23">
        <v>1.74</v>
      </c>
      <c r="L370" s="23">
        <v>1.74</v>
      </c>
      <c r="M370" s="23">
        <v>1.74</v>
      </c>
      <c r="N370" s="23">
        <v>1.74</v>
      </c>
      <c r="O370" s="23">
        <v>1.74</v>
      </c>
      <c r="P370" s="23">
        <v>1.74</v>
      </c>
      <c r="Q370" s="23">
        <v>1.74</v>
      </c>
    </row>
    <row r="371" spans="1:17" s="24" customFormat="1" ht="12.75" customHeight="1">
      <c r="A371" s="22" t="s">
        <v>496</v>
      </c>
      <c r="B371" s="23">
        <v>1.86</v>
      </c>
      <c r="J371" s="23">
        <v>1.86</v>
      </c>
      <c r="K371" s="23">
        <v>1.86</v>
      </c>
      <c r="L371" s="23">
        <v>1.86</v>
      </c>
      <c r="M371" s="23">
        <v>1.86</v>
      </c>
      <c r="N371" s="23">
        <v>1.86</v>
      </c>
      <c r="O371" s="23">
        <v>1.86</v>
      </c>
      <c r="P371" s="23">
        <v>1.86</v>
      </c>
      <c r="Q371" s="23">
        <v>1.86</v>
      </c>
    </row>
    <row r="372" spans="1:17" s="24" customFormat="1" ht="12.75" customHeight="1">
      <c r="A372" s="22" t="s">
        <v>497</v>
      </c>
      <c r="B372" s="23">
        <v>1.21</v>
      </c>
      <c r="J372" s="23">
        <v>1.21</v>
      </c>
      <c r="K372" s="23">
        <v>1.21</v>
      </c>
      <c r="L372" s="23">
        <v>1.21</v>
      </c>
      <c r="M372" s="23">
        <v>1.21</v>
      </c>
      <c r="N372" s="23">
        <v>1.21</v>
      </c>
      <c r="O372" s="23">
        <v>1.21</v>
      </c>
      <c r="P372" s="23">
        <v>1.21</v>
      </c>
      <c r="Q372" s="23">
        <v>1.21</v>
      </c>
    </row>
    <row r="373" spans="1:17" s="24" customFormat="1" ht="12.75" customHeight="1">
      <c r="A373" s="22" t="s">
        <v>498</v>
      </c>
      <c r="B373" s="23">
        <v>1.86</v>
      </c>
      <c r="J373" s="23">
        <v>1.86</v>
      </c>
      <c r="K373" s="23">
        <v>1.86</v>
      </c>
      <c r="L373" s="23">
        <v>1.86</v>
      </c>
      <c r="M373" s="23">
        <v>1.86</v>
      </c>
      <c r="N373" s="23">
        <v>1.86</v>
      </c>
      <c r="O373" s="23">
        <v>1.86</v>
      </c>
      <c r="P373" s="23">
        <v>1.86</v>
      </c>
      <c r="Q373" s="23">
        <v>1.86</v>
      </c>
    </row>
    <row r="374" spans="1:17" s="24" customFormat="1" ht="12.75" customHeight="1">
      <c r="A374" s="22" t="s">
        <v>499</v>
      </c>
      <c r="B374" s="23">
        <v>2.12</v>
      </c>
      <c r="J374" s="23">
        <v>2.12</v>
      </c>
      <c r="K374" s="23">
        <v>2.12</v>
      </c>
      <c r="L374" s="23">
        <v>2.12</v>
      </c>
      <c r="M374" s="23">
        <v>2.12</v>
      </c>
      <c r="N374" s="23">
        <v>2.12</v>
      </c>
      <c r="O374" s="23">
        <v>2.12</v>
      </c>
      <c r="P374" s="23">
        <v>2.12</v>
      </c>
      <c r="Q374" s="23">
        <v>2.12</v>
      </c>
    </row>
    <row r="375" spans="1:17" s="24" customFormat="1" ht="12.75" customHeight="1">
      <c r="A375" s="22" t="s">
        <v>500</v>
      </c>
      <c r="B375" s="23">
        <v>2.12</v>
      </c>
      <c r="J375" s="23">
        <v>2.12</v>
      </c>
      <c r="K375" s="23">
        <v>2.12</v>
      </c>
      <c r="L375" s="23">
        <v>2.12</v>
      </c>
      <c r="M375" s="23">
        <v>2.12</v>
      </c>
      <c r="N375" s="23">
        <v>2.12</v>
      </c>
      <c r="O375" s="23">
        <v>2.12</v>
      </c>
      <c r="P375" s="23">
        <v>2.12</v>
      </c>
      <c r="Q375" s="23">
        <v>2.12</v>
      </c>
    </row>
    <row r="376" spans="1:17" s="24" customFormat="1" ht="12.75" customHeight="1">
      <c r="A376" s="22" t="s">
        <v>501</v>
      </c>
      <c r="B376" s="23">
        <v>2.12</v>
      </c>
      <c r="J376" s="23">
        <v>2.12</v>
      </c>
      <c r="K376" s="23">
        <v>2.12</v>
      </c>
      <c r="L376" s="23">
        <v>2.12</v>
      </c>
      <c r="M376" s="23">
        <v>2.12</v>
      </c>
      <c r="N376" s="23">
        <v>2.12</v>
      </c>
      <c r="O376" s="23">
        <v>2.12</v>
      </c>
      <c r="P376" s="23">
        <v>2.12</v>
      </c>
      <c r="Q376" s="23">
        <v>2.12</v>
      </c>
    </row>
    <row r="377" spans="1:17" s="24" customFormat="1" ht="12.75" customHeight="1">
      <c r="A377" s="22" t="s">
        <v>502</v>
      </c>
      <c r="B377" s="23">
        <v>1.86</v>
      </c>
      <c r="J377" s="23">
        <v>1.86</v>
      </c>
      <c r="K377" s="23">
        <v>1.86</v>
      </c>
      <c r="L377" s="23">
        <v>1.86</v>
      </c>
      <c r="M377" s="23">
        <v>1.86</v>
      </c>
      <c r="N377" s="23">
        <v>1.86</v>
      </c>
      <c r="O377" s="23">
        <v>1.86</v>
      </c>
      <c r="P377" s="23">
        <v>1.86</v>
      </c>
      <c r="Q377" s="23">
        <v>1.86</v>
      </c>
    </row>
    <row r="378" spans="1:17" s="24" customFormat="1" ht="12.75" customHeight="1">
      <c r="A378" s="22" t="s">
        <v>503</v>
      </c>
      <c r="B378" s="23">
        <v>1.74</v>
      </c>
      <c r="J378" s="23">
        <v>1.74</v>
      </c>
      <c r="K378" s="23">
        <v>1.74</v>
      </c>
      <c r="L378" s="23">
        <v>1.74</v>
      </c>
      <c r="M378" s="23">
        <v>1.74</v>
      </c>
      <c r="N378" s="23">
        <v>1.74</v>
      </c>
      <c r="O378" s="23">
        <v>1.74</v>
      </c>
      <c r="P378" s="23">
        <v>1.74</v>
      </c>
      <c r="Q378" s="23">
        <v>1.74</v>
      </c>
    </row>
    <row r="379" spans="1:17" s="24" customFormat="1" ht="12.75" customHeight="1">
      <c r="A379" s="22" t="s">
        <v>504</v>
      </c>
      <c r="B379" s="23">
        <v>2.23</v>
      </c>
      <c r="J379" s="23">
        <v>2.23</v>
      </c>
      <c r="K379" s="23">
        <v>2.23</v>
      </c>
      <c r="L379" s="23">
        <v>2.23</v>
      </c>
      <c r="M379" s="23">
        <v>2.23</v>
      </c>
      <c r="N379" s="23">
        <v>2.23</v>
      </c>
      <c r="O379" s="23">
        <v>2.23</v>
      </c>
      <c r="P379" s="23">
        <v>2.23</v>
      </c>
      <c r="Q379" s="23">
        <v>2.23</v>
      </c>
    </row>
    <row r="380" spans="1:17" s="24" customFormat="1" ht="12.75" customHeight="1">
      <c r="A380" s="22" t="s">
        <v>505</v>
      </c>
      <c r="B380" s="23">
        <v>1.21</v>
      </c>
      <c r="J380" s="23">
        <v>1.21</v>
      </c>
      <c r="K380" s="23">
        <v>1.21</v>
      </c>
      <c r="L380" s="23">
        <v>1.21</v>
      </c>
      <c r="M380" s="23">
        <v>1.21</v>
      </c>
      <c r="N380" s="23">
        <v>1.21</v>
      </c>
      <c r="O380" s="23">
        <v>1.21</v>
      </c>
      <c r="P380" s="23">
        <v>1.21</v>
      </c>
      <c r="Q380" s="23">
        <v>1.21</v>
      </c>
    </row>
    <row r="381" spans="1:17" s="24" customFormat="1" ht="12.75" customHeight="1">
      <c r="A381" s="22" t="s">
        <v>506</v>
      </c>
      <c r="B381" s="23">
        <v>2.23</v>
      </c>
      <c r="J381" s="23">
        <v>2.23</v>
      </c>
      <c r="K381" s="23">
        <v>2.23</v>
      </c>
      <c r="L381" s="23">
        <v>2.23</v>
      </c>
      <c r="M381" s="23">
        <v>2.23</v>
      </c>
      <c r="N381" s="23">
        <v>2.23</v>
      </c>
      <c r="O381" s="23">
        <v>2.23</v>
      </c>
      <c r="P381" s="23">
        <v>2.23</v>
      </c>
      <c r="Q381" s="23">
        <v>2.23</v>
      </c>
    </row>
    <row r="382" spans="1:17" s="24" customFormat="1" ht="12.75" customHeight="1">
      <c r="A382" s="22" t="s">
        <v>507</v>
      </c>
      <c r="B382" s="23">
        <v>1.86</v>
      </c>
      <c r="J382" s="23">
        <v>1.86</v>
      </c>
      <c r="K382" s="23">
        <v>1.86</v>
      </c>
      <c r="L382" s="23">
        <v>1.86</v>
      </c>
      <c r="M382" s="23">
        <v>1.86</v>
      </c>
      <c r="N382" s="23">
        <v>1.86</v>
      </c>
      <c r="O382" s="23">
        <v>1.86</v>
      </c>
      <c r="P382" s="23">
        <v>1.86</v>
      </c>
      <c r="Q382" s="23">
        <v>1.86</v>
      </c>
    </row>
    <row r="383" spans="1:17" s="24" customFormat="1" ht="12.75" customHeight="1">
      <c r="A383" s="22" t="s">
        <v>508</v>
      </c>
      <c r="B383" s="23">
        <v>2.12</v>
      </c>
      <c r="J383" s="23">
        <v>2.12</v>
      </c>
      <c r="K383" s="23">
        <v>2.12</v>
      </c>
      <c r="L383" s="23">
        <v>2.12</v>
      </c>
      <c r="M383" s="23">
        <v>2.12</v>
      </c>
      <c r="N383" s="23">
        <v>2.12</v>
      </c>
      <c r="O383" s="23">
        <v>2.12</v>
      </c>
      <c r="P383" s="23">
        <v>2.12</v>
      </c>
      <c r="Q383" s="23">
        <v>2.12</v>
      </c>
    </row>
    <row r="384" spans="1:17" s="24" customFormat="1" ht="12.75" customHeight="1">
      <c r="A384" s="22" t="s">
        <v>509</v>
      </c>
      <c r="B384" s="23">
        <v>2.12</v>
      </c>
      <c r="J384" s="23">
        <v>2.12</v>
      </c>
      <c r="K384" s="23">
        <v>2.12</v>
      </c>
      <c r="L384" s="23">
        <v>2.12</v>
      </c>
      <c r="M384" s="23">
        <v>2.12</v>
      </c>
      <c r="N384" s="23">
        <v>2.12</v>
      </c>
      <c r="O384" s="23">
        <v>2.12</v>
      </c>
      <c r="P384" s="23">
        <v>2.12</v>
      </c>
      <c r="Q384" s="23">
        <v>2.12</v>
      </c>
    </row>
    <row r="385" spans="1:17" s="24" customFormat="1" ht="12.75" customHeight="1">
      <c r="A385" s="22" t="s">
        <v>510</v>
      </c>
      <c r="B385" s="23">
        <v>1.74</v>
      </c>
      <c r="J385" s="23">
        <v>1.74</v>
      </c>
      <c r="K385" s="23">
        <v>1.74</v>
      </c>
      <c r="L385" s="23">
        <v>1.74</v>
      </c>
      <c r="M385" s="23">
        <v>1.74</v>
      </c>
      <c r="N385" s="23">
        <v>1.74</v>
      </c>
      <c r="O385" s="23">
        <v>1.74</v>
      </c>
      <c r="P385" s="23">
        <v>1.74</v>
      </c>
      <c r="Q385" s="23">
        <v>1.74</v>
      </c>
    </row>
    <row r="386" spans="1:17" s="24" customFormat="1" ht="12.75" customHeight="1">
      <c r="A386" s="22" t="s">
        <v>511</v>
      </c>
      <c r="B386" s="23">
        <v>1.21</v>
      </c>
      <c r="J386" s="23">
        <v>1.21</v>
      </c>
      <c r="K386" s="23">
        <v>1.21</v>
      </c>
      <c r="L386" s="23">
        <v>1.21</v>
      </c>
      <c r="M386" s="23">
        <v>1.21</v>
      </c>
      <c r="N386" s="23">
        <v>1.21</v>
      </c>
      <c r="O386" s="23">
        <v>1.21</v>
      </c>
      <c r="P386" s="23">
        <v>1.21</v>
      </c>
      <c r="Q386" s="23">
        <v>1.21</v>
      </c>
    </row>
    <row r="387" spans="1:17" s="24" customFormat="1" ht="12.75" customHeight="1">
      <c r="A387" s="22" t="s">
        <v>512</v>
      </c>
      <c r="B387" s="23">
        <v>2.12</v>
      </c>
      <c r="J387" s="23">
        <v>2.12</v>
      </c>
      <c r="K387" s="23">
        <v>2.12</v>
      </c>
      <c r="L387" s="23">
        <v>2.12</v>
      </c>
      <c r="M387" s="23">
        <v>2.12</v>
      </c>
      <c r="N387" s="23">
        <v>2.12</v>
      </c>
      <c r="O387" s="23">
        <v>2.12</v>
      </c>
      <c r="P387" s="23">
        <v>2.12</v>
      </c>
      <c r="Q387" s="23">
        <v>2.12</v>
      </c>
    </row>
    <row r="388" spans="1:17" s="24" customFormat="1" ht="12.75" customHeight="1">
      <c r="A388" s="22" t="s">
        <v>513</v>
      </c>
      <c r="B388" s="23">
        <v>12</v>
      </c>
      <c r="J388" s="23">
        <v>12</v>
      </c>
      <c r="K388" s="23">
        <v>12</v>
      </c>
      <c r="L388" s="23">
        <v>12</v>
      </c>
      <c r="M388" s="23">
        <v>12</v>
      </c>
      <c r="N388" s="23">
        <v>12</v>
      </c>
      <c r="O388" s="23">
        <v>12</v>
      </c>
      <c r="P388" s="23">
        <v>12</v>
      </c>
      <c r="Q388" s="23">
        <v>12</v>
      </c>
    </row>
    <row r="389" spans="1:17" s="24" customFormat="1" ht="12.75" customHeight="1">
      <c r="A389" s="22" t="s">
        <v>514</v>
      </c>
      <c r="B389" s="23">
        <v>2.12</v>
      </c>
      <c r="J389" s="23">
        <v>2.12</v>
      </c>
      <c r="K389" s="23">
        <v>2.12</v>
      </c>
      <c r="L389" s="23">
        <v>2.12</v>
      </c>
      <c r="M389" s="23">
        <v>2.12</v>
      </c>
      <c r="N389" s="23">
        <v>2.12</v>
      </c>
      <c r="O389" s="23">
        <v>2.12</v>
      </c>
      <c r="P389" s="23">
        <v>2.12</v>
      </c>
      <c r="Q389" s="23">
        <v>2.12</v>
      </c>
    </row>
    <row r="390" spans="1:17" s="24" customFormat="1" ht="12.75" customHeight="1">
      <c r="A390" s="22" t="s">
        <v>515</v>
      </c>
      <c r="B390" s="23">
        <v>2.12</v>
      </c>
      <c r="J390" s="23">
        <v>2.12</v>
      </c>
      <c r="K390" s="23">
        <v>2.12</v>
      </c>
      <c r="L390" s="23">
        <v>2.12</v>
      </c>
      <c r="M390" s="23">
        <v>2.12</v>
      </c>
      <c r="N390" s="23">
        <v>2.12</v>
      </c>
      <c r="O390" s="23">
        <v>2.12</v>
      </c>
      <c r="P390" s="23">
        <v>2.12</v>
      </c>
      <c r="Q390" s="23">
        <v>2.12</v>
      </c>
    </row>
    <row r="391" spans="1:17" s="24" customFormat="1" ht="12.75" customHeight="1">
      <c r="A391" s="22" t="s">
        <v>516</v>
      </c>
      <c r="B391" s="23">
        <v>2.59</v>
      </c>
      <c r="J391" s="23">
        <v>2.59</v>
      </c>
      <c r="K391" s="23">
        <v>2.59</v>
      </c>
      <c r="L391" s="23">
        <v>2.59</v>
      </c>
      <c r="M391" s="23">
        <v>2.59</v>
      </c>
      <c r="N391" s="23">
        <v>2.59</v>
      </c>
      <c r="O391" s="23">
        <v>2.59</v>
      </c>
      <c r="P391" s="23">
        <v>2.59</v>
      </c>
      <c r="Q391" s="23">
        <v>2.59</v>
      </c>
    </row>
    <row r="392" spans="1:17" s="24" customFormat="1" ht="12.75" customHeight="1">
      <c r="A392" s="22" t="s">
        <v>517</v>
      </c>
      <c r="B392" s="23">
        <v>2.23</v>
      </c>
      <c r="J392" s="23">
        <v>2.23</v>
      </c>
      <c r="K392" s="23">
        <v>2.23</v>
      </c>
      <c r="L392" s="23">
        <v>2.23</v>
      </c>
      <c r="M392" s="23">
        <v>2.23</v>
      </c>
      <c r="N392" s="23">
        <v>2.23</v>
      </c>
      <c r="O392" s="23">
        <v>2.23</v>
      </c>
      <c r="P392" s="23">
        <v>2.23</v>
      </c>
      <c r="Q392" s="23">
        <v>2.23</v>
      </c>
    </row>
    <row r="393" spans="1:17" s="24" customFormat="1" ht="12.75" customHeight="1">
      <c r="A393" s="22" t="s">
        <v>518</v>
      </c>
      <c r="B393" s="23">
        <v>2.95</v>
      </c>
      <c r="J393" s="23">
        <v>2.95</v>
      </c>
      <c r="K393" s="23">
        <v>2.95</v>
      </c>
      <c r="L393" s="23">
        <v>2.95</v>
      </c>
      <c r="M393" s="23">
        <v>2.95</v>
      </c>
      <c r="N393" s="23">
        <v>2.95</v>
      </c>
      <c r="O393" s="23">
        <v>2.95</v>
      </c>
      <c r="P393" s="23">
        <v>2.95</v>
      </c>
      <c r="Q393" s="23">
        <v>2.95</v>
      </c>
    </row>
    <row r="394" spans="1:17" s="24" customFormat="1" ht="12.75" customHeight="1">
      <c r="A394" s="22" t="s">
        <v>519</v>
      </c>
      <c r="B394" s="23">
        <v>1.21</v>
      </c>
      <c r="J394" s="23">
        <v>1.21</v>
      </c>
      <c r="K394" s="23">
        <v>1.21</v>
      </c>
      <c r="L394" s="23">
        <v>1.21</v>
      </c>
      <c r="M394" s="23">
        <v>1.21</v>
      </c>
      <c r="N394" s="23">
        <v>1.21</v>
      </c>
      <c r="O394" s="23">
        <v>1.21</v>
      </c>
      <c r="P394" s="23">
        <v>1.21</v>
      </c>
      <c r="Q394" s="23">
        <v>1.21</v>
      </c>
    </row>
    <row r="395" spans="1:17" s="24" customFormat="1" ht="12.75" customHeight="1">
      <c r="A395" s="22" t="s">
        <v>224</v>
      </c>
      <c r="B395" s="23">
        <v>12</v>
      </c>
      <c r="J395" s="23">
        <v>12</v>
      </c>
      <c r="K395" s="23">
        <v>12</v>
      </c>
      <c r="L395" s="23">
        <v>12</v>
      </c>
      <c r="M395" s="23">
        <v>12</v>
      </c>
      <c r="N395" s="23">
        <v>12</v>
      </c>
      <c r="O395" s="23">
        <v>12</v>
      </c>
      <c r="P395" s="23">
        <v>12</v>
      </c>
      <c r="Q395" s="23">
        <v>12</v>
      </c>
    </row>
    <row r="396" spans="1:17" s="24" customFormat="1" ht="12.75" customHeight="1">
      <c r="A396" s="22" t="s">
        <v>520</v>
      </c>
      <c r="B396" s="23">
        <v>1.86</v>
      </c>
      <c r="J396" s="23">
        <v>1.86</v>
      </c>
      <c r="K396" s="23">
        <v>1.86</v>
      </c>
      <c r="L396" s="23">
        <v>1.86</v>
      </c>
      <c r="M396" s="23">
        <v>1.86</v>
      </c>
      <c r="N396" s="23">
        <v>1.86</v>
      </c>
      <c r="O396" s="23">
        <v>1.86</v>
      </c>
      <c r="P396" s="23">
        <v>1.86</v>
      </c>
      <c r="Q396" s="23">
        <v>1.86</v>
      </c>
    </row>
    <row r="397" spans="1:17" s="24" customFormat="1" ht="12.75" customHeight="1">
      <c r="A397" s="22" t="s">
        <v>521</v>
      </c>
      <c r="B397" s="23">
        <v>1.86</v>
      </c>
      <c r="J397" s="23">
        <v>1.86</v>
      </c>
      <c r="K397" s="23">
        <v>1.86</v>
      </c>
      <c r="L397" s="23">
        <v>1.86</v>
      </c>
      <c r="M397" s="23">
        <v>1.86</v>
      </c>
      <c r="N397" s="23">
        <v>1.86</v>
      </c>
      <c r="O397" s="23">
        <v>1.86</v>
      </c>
      <c r="P397" s="23">
        <v>1.86</v>
      </c>
      <c r="Q397" s="23">
        <v>1.86</v>
      </c>
    </row>
    <row r="398" spans="1:17" s="24" customFormat="1" ht="12.75" customHeight="1">
      <c r="A398" s="22" t="s">
        <v>225</v>
      </c>
      <c r="B398" s="23">
        <v>12</v>
      </c>
      <c r="J398" s="23">
        <v>12</v>
      </c>
      <c r="K398" s="23">
        <v>12</v>
      </c>
      <c r="L398" s="23">
        <v>12</v>
      </c>
      <c r="M398" s="23">
        <v>12</v>
      </c>
      <c r="N398" s="23">
        <v>12</v>
      </c>
      <c r="O398" s="23">
        <v>12</v>
      </c>
      <c r="P398" s="23">
        <v>12</v>
      </c>
      <c r="Q398" s="23">
        <v>12</v>
      </c>
    </row>
    <row r="399" spans="1:17" s="24" customFormat="1" ht="12.75" customHeight="1">
      <c r="A399" s="22" t="s">
        <v>522</v>
      </c>
      <c r="B399" s="23">
        <v>2.12</v>
      </c>
      <c r="J399" s="23">
        <v>2.12</v>
      </c>
      <c r="K399" s="23">
        <v>2.12</v>
      </c>
      <c r="L399" s="23">
        <v>2.12</v>
      </c>
      <c r="M399" s="23">
        <v>2.12</v>
      </c>
      <c r="N399" s="23">
        <v>2.12</v>
      </c>
      <c r="O399" s="23">
        <v>2.12</v>
      </c>
      <c r="P399" s="23">
        <v>2.12</v>
      </c>
      <c r="Q399" s="23">
        <v>2.12</v>
      </c>
    </row>
    <row r="400" spans="1:17" s="24" customFormat="1" ht="12.75" customHeight="1">
      <c r="A400" s="22" t="s">
        <v>523</v>
      </c>
      <c r="B400" s="23">
        <v>1.86</v>
      </c>
      <c r="J400" s="23">
        <v>1.86</v>
      </c>
      <c r="K400" s="23">
        <v>1.86</v>
      </c>
      <c r="L400" s="23">
        <v>1.86</v>
      </c>
      <c r="M400" s="23">
        <v>1.86</v>
      </c>
      <c r="N400" s="23">
        <v>1.86</v>
      </c>
      <c r="O400" s="23">
        <v>1.86</v>
      </c>
      <c r="P400" s="23">
        <v>1.86</v>
      </c>
      <c r="Q400" s="23">
        <v>1.86</v>
      </c>
    </row>
    <row r="401" spans="1:17" s="24" customFormat="1" ht="12.75" customHeight="1">
      <c r="A401" s="22" t="s">
        <v>524</v>
      </c>
      <c r="B401" s="23">
        <v>1.86</v>
      </c>
      <c r="J401" s="23">
        <v>1.86</v>
      </c>
      <c r="K401" s="23">
        <v>1.86</v>
      </c>
      <c r="L401" s="23">
        <v>1.86</v>
      </c>
      <c r="M401" s="23">
        <v>1.86</v>
      </c>
      <c r="N401" s="23">
        <v>1.86</v>
      </c>
      <c r="O401" s="23">
        <v>1.86</v>
      </c>
      <c r="P401" s="23">
        <v>1.86</v>
      </c>
      <c r="Q401" s="23">
        <v>1.86</v>
      </c>
    </row>
    <row r="402" spans="1:17" s="24" customFormat="1" ht="12.75" customHeight="1">
      <c r="A402" s="22" t="s">
        <v>525</v>
      </c>
      <c r="B402" s="23">
        <v>2.12</v>
      </c>
      <c r="J402" s="23">
        <v>2.12</v>
      </c>
      <c r="K402" s="23">
        <v>2.12</v>
      </c>
      <c r="L402" s="23">
        <v>2.12</v>
      </c>
      <c r="M402" s="23">
        <v>2.12</v>
      </c>
      <c r="N402" s="23">
        <v>2.12</v>
      </c>
      <c r="O402" s="23">
        <v>2.12</v>
      </c>
      <c r="P402" s="23">
        <v>2.12</v>
      </c>
      <c r="Q402" s="23">
        <v>2.12</v>
      </c>
    </row>
    <row r="403" spans="1:17" s="24" customFormat="1" ht="12.75" customHeight="1">
      <c r="A403" s="22" t="s">
        <v>526</v>
      </c>
      <c r="B403" s="23">
        <v>1.74</v>
      </c>
      <c r="J403" s="23">
        <v>1.74</v>
      </c>
      <c r="K403" s="23">
        <v>1.74</v>
      </c>
      <c r="L403" s="23">
        <v>1.74</v>
      </c>
      <c r="M403" s="23">
        <v>1.74</v>
      </c>
      <c r="N403" s="23">
        <v>1.74</v>
      </c>
      <c r="O403" s="23">
        <v>1.74</v>
      </c>
      <c r="P403" s="23">
        <v>1.74</v>
      </c>
      <c r="Q403" s="23">
        <v>1.74</v>
      </c>
    </row>
    <row r="404" spans="1:17" s="24" customFormat="1" ht="12.75" customHeight="1">
      <c r="A404" s="22" t="s">
        <v>527</v>
      </c>
      <c r="B404" s="23">
        <v>1.86</v>
      </c>
      <c r="J404" s="23">
        <v>1.86</v>
      </c>
      <c r="K404" s="23">
        <v>1.86</v>
      </c>
      <c r="L404" s="23">
        <v>1.86</v>
      </c>
      <c r="M404" s="23">
        <v>1.86</v>
      </c>
      <c r="N404" s="23">
        <v>1.86</v>
      </c>
      <c r="O404" s="23">
        <v>1.86</v>
      </c>
      <c r="P404" s="23">
        <v>1.86</v>
      </c>
      <c r="Q404" s="23">
        <v>1.86</v>
      </c>
    </row>
    <row r="405" spans="1:17" s="24" customFormat="1" ht="12.75" customHeight="1">
      <c r="A405" s="22" t="s">
        <v>528</v>
      </c>
      <c r="B405" s="23">
        <v>1.21</v>
      </c>
      <c r="J405" s="23">
        <v>1.21</v>
      </c>
      <c r="K405" s="23">
        <v>1.21</v>
      </c>
      <c r="L405" s="23">
        <v>1.21</v>
      </c>
      <c r="M405" s="23">
        <v>1.21</v>
      </c>
      <c r="N405" s="23">
        <v>1.21</v>
      </c>
      <c r="O405" s="23">
        <v>1.21</v>
      </c>
      <c r="P405" s="23">
        <v>1.21</v>
      </c>
      <c r="Q405" s="23">
        <v>1.21</v>
      </c>
    </row>
    <row r="406" spans="1:17" s="24" customFormat="1" ht="12.75" customHeight="1">
      <c r="A406" s="22" t="s">
        <v>529</v>
      </c>
      <c r="B406" s="23">
        <v>2.23</v>
      </c>
      <c r="J406" s="23">
        <v>2.23</v>
      </c>
      <c r="K406" s="23">
        <v>2.23</v>
      </c>
      <c r="L406" s="23">
        <v>2.23</v>
      </c>
      <c r="M406" s="23">
        <v>2.23</v>
      </c>
      <c r="N406" s="23">
        <v>2.23</v>
      </c>
      <c r="O406" s="23">
        <v>2.23</v>
      </c>
      <c r="P406" s="23">
        <v>2.23</v>
      </c>
      <c r="Q406" s="23">
        <v>2.23</v>
      </c>
    </row>
    <row r="407" spans="1:17" s="24" customFormat="1" ht="12.75" customHeight="1">
      <c r="A407" s="22" t="s">
        <v>530</v>
      </c>
      <c r="B407" s="23">
        <v>2.59</v>
      </c>
      <c r="J407" s="23">
        <v>2.59</v>
      </c>
      <c r="K407" s="23">
        <v>2.59</v>
      </c>
      <c r="L407" s="23">
        <v>2.59</v>
      </c>
      <c r="M407" s="23">
        <v>2.59</v>
      </c>
      <c r="N407" s="23">
        <v>2.59</v>
      </c>
      <c r="O407" s="23">
        <v>2.59</v>
      </c>
      <c r="P407" s="23">
        <v>2.59</v>
      </c>
      <c r="Q407" s="23">
        <v>2.59</v>
      </c>
    </row>
    <row r="408" spans="1:17" s="24" customFormat="1" ht="12.75" customHeight="1">
      <c r="A408" s="22" t="s">
        <v>531</v>
      </c>
      <c r="B408" s="23">
        <v>2.12</v>
      </c>
      <c r="J408" s="23">
        <v>2.12</v>
      </c>
      <c r="K408" s="23">
        <v>2.12</v>
      </c>
      <c r="L408" s="23">
        <v>2.12</v>
      </c>
      <c r="M408" s="23">
        <v>2.12</v>
      </c>
      <c r="N408" s="23">
        <v>2.12</v>
      </c>
      <c r="O408" s="23">
        <v>2.12</v>
      </c>
      <c r="P408" s="23">
        <v>2.12</v>
      </c>
      <c r="Q408" s="23">
        <v>2.12</v>
      </c>
    </row>
    <row r="409" spans="1:17" s="24" customFormat="1" ht="12.75" customHeight="1">
      <c r="A409" s="22" t="s">
        <v>532</v>
      </c>
      <c r="B409" s="23">
        <v>1.74</v>
      </c>
      <c r="J409" s="23">
        <v>1.74</v>
      </c>
      <c r="K409" s="23">
        <v>1.74</v>
      </c>
      <c r="L409" s="23">
        <v>1.74</v>
      </c>
      <c r="M409" s="23">
        <v>1.74</v>
      </c>
      <c r="N409" s="23">
        <v>1.74</v>
      </c>
      <c r="O409" s="23">
        <v>1.74</v>
      </c>
      <c r="P409" s="23">
        <v>1.74</v>
      </c>
      <c r="Q409" s="23">
        <v>1.74</v>
      </c>
    </row>
    <row r="410" spans="1:17" s="24" customFormat="1" ht="12.75" customHeight="1">
      <c r="A410" s="22" t="s">
        <v>533</v>
      </c>
      <c r="B410" s="23">
        <v>2.23</v>
      </c>
      <c r="J410" s="23">
        <v>2.23</v>
      </c>
      <c r="K410" s="23">
        <v>2.23</v>
      </c>
      <c r="L410" s="23">
        <v>2.23</v>
      </c>
      <c r="M410" s="23">
        <v>2.23</v>
      </c>
      <c r="N410" s="23">
        <v>2.23</v>
      </c>
      <c r="O410" s="23">
        <v>2.23</v>
      </c>
      <c r="P410" s="23">
        <v>2.23</v>
      </c>
      <c r="Q410" s="23">
        <v>2.23</v>
      </c>
    </row>
    <row r="411" spans="1:17" s="24" customFormat="1" ht="12.75" customHeight="1">
      <c r="A411" s="22" t="s">
        <v>534</v>
      </c>
      <c r="B411" s="23">
        <v>2.12</v>
      </c>
      <c r="J411" s="23">
        <v>2.12</v>
      </c>
      <c r="K411" s="23">
        <v>2.12</v>
      </c>
      <c r="L411" s="23">
        <v>2.12</v>
      </c>
      <c r="M411" s="23">
        <v>2.12</v>
      </c>
      <c r="N411" s="23">
        <v>2.12</v>
      </c>
      <c r="O411" s="23">
        <v>2.12</v>
      </c>
      <c r="P411" s="23">
        <v>2.12</v>
      </c>
      <c r="Q411" s="23">
        <v>2.12</v>
      </c>
    </row>
    <row r="412" spans="1:17" s="24" customFormat="1" ht="12.75" customHeight="1">
      <c r="A412" s="22" t="s">
        <v>535</v>
      </c>
      <c r="B412" s="23">
        <v>12</v>
      </c>
      <c r="J412" s="23">
        <v>12</v>
      </c>
      <c r="K412" s="23">
        <v>12</v>
      </c>
      <c r="L412" s="23">
        <v>12</v>
      </c>
      <c r="M412" s="23">
        <v>12</v>
      </c>
      <c r="N412" s="23">
        <v>12</v>
      </c>
      <c r="O412" s="23">
        <v>12</v>
      </c>
      <c r="P412" s="23">
        <v>12</v>
      </c>
      <c r="Q412" s="23">
        <v>12</v>
      </c>
    </row>
    <row r="413" spans="1:17" s="24" customFormat="1" ht="12.75" customHeight="1">
      <c r="A413" s="22" t="s">
        <v>536</v>
      </c>
      <c r="B413" s="23">
        <v>1.86</v>
      </c>
      <c r="J413" s="23">
        <v>1.86</v>
      </c>
      <c r="K413" s="23">
        <v>1.86</v>
      </c>
      <c r="L413" s="23">
        <v>1.86</v>
      </c>
      <c r="M413" s="23">
        <v>1.86</v>
      </c>
      <c r="N413" s="23">
        <v>1.86</v>
      </c>
      <c r="O413" s="23">
        <v>1.86</v>
      </c>
      <c r="P413" s="23">
        <v>1.86</v>
      </c>
      <c r="Q413" s="23">
        <v>1.86</v>
      </c>
    </row>
    <row r="414" spans="1:17" s="24" customFormat="1" ht="12.75" customHeight="1">
      <c r="A414" s="22" t="s">
        <v>537</v>
      </c>
      <c r="B414" s="23">
        <v>2.12</v>
      </c>
      <c r="J414" s="23">
        <v>2.12</v>
      </c>
      <c r="K414" s="23">
        <v>2.12</v>
      </c>
      <c r="L414" s="23">
        <v>2.12</v>
      </c>
      <c r="M414" s="23">
        <v>2.12</v>
      </c>
      <c r="N414" s="23">
        <v>2.12</v>
      </c>
      <c r="O414" s="23">
        <v>2.12</v>
      </c>
      <c r="P414" s="23">
        <v>2.12</v>
      </c>
      <c r="Q414" s="23">
        <v>2.12</v>
      </c>
    </row>
    <row r="415" spans="1:17" s="24" customFormat="1" ht="12.75" customHeight="1">
      <c r="A415" s="22" t="s">
        <v>538</v>
      </c>
      <c r="B415" s="23">
        <v>2.59</v>
      </c>
      <c r="J415" s="23">
        <v>2.59</v>
      </c>
      <c r="K415" s="23">
        <v>2.59</v>
      </c>
      <c r="L415" s="23">
        <v>2.59</v>
      </c>
      <c r="M415" s="23">
        <v>2.59</v>
      </c>
      <c r="N415" s="23">
        <v>2.59</v>
      </c>
      <c r="O415" s="23">
        <v>2.59</v>
      </c>
      <c r="P415" s="23">
        <v>2.59</v>
      </c>
      <c r="Q415" s="23">
        <v>2.59</v>
      </c>
    </row>
    <row r="416" spans="1:17" s="24" customFormat="1" ht="12.75" customHeight="1">
      <c r="A416" s="22" t="s">
        <v>539</v>
      </c>
      <c r="B416" s="23">
        <v>2.12</v>
      </c>
      <c r="J416" s="23">
        <v>2.12</v>
      </c>
      <c r="K416" s="23">
        <v>2.12</v>
      </c>
      <c r="L416" s="23">
        <v>2.12</v>
      </c>
      <c r="M416" s="23">
        <v>2.12</v>
      </c>
      <c r="N416" s="23">
        <v>2.12</v>
      </c>
      <c r="O416" s="23">
        <v>2.12</v>
      </c>
      <c r="P416" s="23">
        <v>2.12</v>
      </c>
      <c r="Q416" s="23">
        <v>2.12</v>
      </c>
    </row>
    <row r="417" spans="1:17" s="24" customFormat="1" ht="12.75" customHeight="1">
      <c r="A417" s="22" t="s">
        <v>540</v>
      </c>
      <c r="B417" s="23">
        <v>12</v>
      </c>
      <c r="J417" s="23">
        <v>12</v>
      </c>
      <c r="K417" s="23">
        <v>12</v>
      </c>
      <c r="L417" s="23">
        <v>12</v>
      </c>
      <c r="M417" s="23">
        <v>12</v>
      </c>
      <c r="N417" s="23">
        <v>12</v>
      </c>
      <c r="O417" s="23">
        <v>12</v>
      </c>
      <c r="P417" s="23">
        <v>12</v>
      </c>
      <c r="Q417" s="23">
        <v>12</v>
      </c>
    </row>
    <row r="418" spans="1:17" s="24" customFormat="1" ht="12.75" customHeight="1">
      <c r="A418" s="22" t="s">
        <v>541</v>
      </c>
      <c r="B418" s="23">
        <v>1.21</v>
      </c>
      <c r="J418" s="23">
        <v>1.21</v>
      </c>
      <c r="K418" s="23">
        <v>1.21</v>
      </c>
      <c r="L418" s="23">
        <v>1.21</v>
      </c>
      <c r="M418" s="23">
        <v>1.21</v>
      </c>
      <c r="N418" s="23">
        <v>1.21</v>
      </c>
      <c r="O418" s="23">
        <v>1.21</v>
      </c>
      <c r="P418" s="23">
        <v>1.21</v>
      </c>
      <c r="Q418" s="23">
        <v>1.21</v>
      </c>
    </row>
    <row r="419" spans="1:17" s="24" customFormat="1" ht="12.75" customHeight="1">
      <c r="A419" s="22" t="s">
        <v>542</v>
      </c>
      <c r="B419" s="23">
        <v>2.23</v>
      </c>
      <c r="J419" s="23">
        <v>2.23</v>
      </c>
      <c r="K419" s="23">
        <v>2.23</v>
      </c>
      <c r="L419" s="23">
        <v>2.23</v>
      </c>
      <c r="M419" s="23">
        <v>2.23</v>
      </c>
      <c r="N419" s="23">
        <v>2.23</v>
      </c>
      <c r="O419" s="23">
        <v>2.23</v>
      </c>
      <c r="P419" s="23">
        <v>2.23</v>
      </c>
      <c r="Q419" s="23">
        <v>2.23</v>
      </c>
    </row>
    <row r="420" spans="1:17" s="24" customFormat="1" ht="12.75" customHeight="1">
      <c r="A420" s="22" t="s">
        <v>543</v>
      </c>
      <c r="B420" s="23">
        <v>2.12</v>
      </c>
      <c r="J420" s="23">
        <v>2.12</v>
      </c>
      <c r="K420" s="23">
        <v>2.12</v>
      </c>
      <c r="L420" s="23">
        <v>2.12</v>
      </c>
      <c r="M420" s="23">
        <v>2.12</v>
      </c>
      <c r="N420" s="23">
        <v>2.12</v>
      </c>
      <c r="O420" s="23">
        <v>2.12</v>
      </c>
      <c r="P420" s="23">
        <v>2.12</v>
      </c>
      <c r="Q420" s="23">
        <v>2.12</v>
      </c>
    </row>
    <row r="421" spans="1:17" s="24" customFormat="1" ht="12.75" customHeight="1">
      <c r="A421" s="22" t="s">
        <v>544</v>
      </c>
      <c r="B421" s="23">
        <v>1.74</v>
      </c>
      <c r="J421" s="23">
        <v>1.74</v>
      </c>
      <c r="K421" s="23">
        <v>1.74</v>
      </c>
      <c r="L421" s="23">
        <v>1.74</v>
      </c>
      <c r="M421" s="23">
        <v>1.74</v>
      </c>
      <c r="N421" s="23">
        <v>1.74</v>
      </c>
      <c r="O421" s="23">
        <v>1.74</v>
      </c>
      <c r="P421" s="23">
        <v>1.74</v>
      </c>
      <c r="Q421" s="23">
        <v>1.74</v>
      </c>
    </row>
    <row r="422" spans="1:17" s="24" customFormat="1" ht="12.75" customHeight="1">
      <c r="A422" s="22" t="s">
        <v>545</v>
      </c>
      <c r="B422" s="23">
        <v>1.74</v>
      </c>
      <c r="J422" s="23">
        <v>1.74</v>
      </c>
      <c r="K422" s="23">
        <v>1.74</v>
      </c>
      <c r="L422" s="23">
        <v>1.74</v>
      </c>
      <c r="M422" s="23">
        <v>1.74</v>
      </c>
      <c r="N422" s="23">
        <v>1.74</v>
      </c>
      <c r="O422" s="23">
        <v>1.74</v>
      </c>
      <c r="P422" s="23">
        <v>1.74</v>
      </c>
      <c r="Q422" s="23">
        <v>1.74</v>
      </c>
    </row>
    <row r="423" spans="1:17" s="24" customFormat="1" ht="12.75" customHeight="1">
      <c r="A423" s="22" t="s">
        <v>546</v>
      </c>
      <c r="B423" s="23">
        <v>2.23</v>
      </c>
      <c r="J423" s="23">
        <v>2.23</v>
      </c>
      <c r="K423" s="23">
        <v>2.23</v>
      </c>
      <c r="L423" s="23">
        <v>2.23</v>
      </c>
      <c r="M423" s="23">
        <v>2.23</v>
      </c>
      <c r="N423" s="23">
        <v>2.23</v>
      </c>
      <c r="O423" s="23">
        <v>2.23</v>
      </c>
      <c r="P423" s="23">
        <v>2.23</v>
      </c>
      <c r="Q423" s="23">
        <v>2.23</v>
      </c>
    </row>
    <row r="424" spans="1:17" s="24" customFormat="1" ht="12.75" customHeight="1">
      <c r="A424" s="22" t="s">
        <v>547</v>
      </c>
      <c r="B424" s="23">
        <v>2.23</v>
      </c>
      <c r="J424" s="23">
        <v>2.23</v>
      </c>
      <c r="K424" s="23">
        <v>2.23</v>
      </c>
      <c r="L424" s="23">
        <v>2.23</v>
      </c>
      <c r="M424" s="23">
        <v>2.23</v>
      </c>
      <c r="N424" s="23">
        <v>2.23</v>
      </c>
      <c r="O424" s="23">
        <v>2.23</v>
      </c>
      <c r="P424" s="23">
        <v>2.23</v>
      </c>
      <c r="Q424" s="23">
        <v>2.23</v>
      </c>
    </row>
    <row r="425" spans="1:17" s="24" customFormat="1" ht="12.75" customHeight="1">
      <c r="A425" s="22" t="s">
        <v>548</v>
      </c>
      <c r="B425" s="23">
        <v>2.59</v>
      </c>
      <c r="J425" s="23">
        <v>2.59</v>
      </c>
      <c r="K425" s="23">
        <v>2.59</v>
      </c>
      <c r="L425" s="23">
        <v>2.59</v>
      </c>
      <c r="M425" s="23">
        <v>2.59</v>
      </c>
      <c r="N425" s="23">
        <v>2.59</v>
      </c>
      <c r="O425" s="23">
        <v>2.59</v>
      </c>
      <c r="P425" s="23">
        <v>2.59</v>
      </c>
      <c r="Q425" s="23">
        <v>2.59</v>
      </c>
    </row>
    <row r="426" spans="1:17" s="24" customFormat="1" ht="12.75" customHeight="1">
      <c r="A426" s="22" t="s">
        <v>549</v>
      </c>
      <c r="B426" s="23">
        <v>1.47</v>
      </c>
      <c r="J426" s="23">
        <v>1.47</v>
      </c>
      <c r="K426" s="23">
        <v>1.47</v>
      </c>
      <c r="L426" s="23">
        <v>1.47</v>
      </c>
      <c r="M426" s="23">
        <v>1.47</v>
      </c>
      <c r="N426" s="23">
        <v>1.47</v>
      </c>
      <c r="O426" s="23">
        <v>1.47</v>
      </c>
      <c r="P426" s="23">
        <v>1.47</v>
      </c>
      <c r="Q426" s="23">
        <v>1.47</v>
      </c>
    </row>
    <row r="427" spans="1:17" s="24" customFormat="1" ht="12.75" customHeight="1">
      <c r="A427" s="22" t="s">
        <v>550</v>
      </c>
      <c r="B427" s="23">
        <v>2.59</v>
      </c>
      <c r="J427" s="23">
        <v>2.59</v>
      </c>
      <c r="K427" s="23">
        <v>2.59</v>
      </c>
      <c r="L427" s="23">
        <v>2.59</v>
      </c>
      <c r="M427" s="23">
        <v>2.59</v>
      </c>
      <c r="N427" s="23">
        <v>2.59</v>
      </c>
      <c r="O427" s="23">
        <v>2.59</v>
      </c>
      <c r="P427" s="23">
        <v>2.59</v>
      </c>
      <c r="Q427" s="23">
        <v>2.59</v>
      </c>
    </row>
    <row r="428" spans="1:17" s="24" customFormat="1" ht="12.75" customHeight="1">
      <c r="A428" s="22" t="s">
        <v>551</v>
      </c>
      <c r="B428" s="23">
        <v>1.86</v>
      </c>
      <c r="J428" s="23">
        <v>1.86</v>
      </c>
      <c r="K428" s="23">
        <v>1.86</v>
      </c>
      <c r="L428" s="23">
        <v>1.86</v>
      </c>
      <c r="M428" s="23">
        <v>1.86</v>
      </c>
      <c r="N428" s="23">
        <v>1.86</v>
      </c>
      <c r="O428" s="23">
        <v>1.86</v>
      </c>
      <c r="P428" s="23">
        <v>1.86</v>
      </c>
      <c r="Q428" s="23">
        <v>1.86</v>
      </c>
    </row>
    <row r="429" spans="1:17" s="24" customFormat="1" ht="12.75" customHeight="1">
      <c r="A429" s="22" t="s">
        <v>552</v>
      </c>
      <c r="B429" s="23">
        <v>2.23</v>
      </c>
      <c r="J429" s="23">
        <v>2.23</v>
      </c>
      <c r="K429" s="23">
        <v>2.23</v>
      </c>
      <c r="L429" s="23">
        <v>2.23</v>
      </c>
      <c r="M429" s="23">
        <v>2.23</v>
      </c>
      <c r="N429" s="23">
        <v>2.23</v>
      </c>
      <c r="O429" s="23">
        <v>2.23</v>
      </c>
      <c r="P429" s="23">
        <v>2.23</v>
      </c>
      <c r="Q429" s="23">
        <v>2.23</v>
      </c>
    </row>
    <row r="430" spans="1:17" s="24" customFormat="1" ht="12.75" customHeight="1">
      <c r="A430" s="22" t="s">
        <v>553</v>
      </c>
      <c r="B430" s="23">
        <v>2.59</v>
      </c>
      <c r="J430" s="23">
        <v>2.59</v>
      </c>
      <c r="K430" s="23">
        <v>2.59</v>
      </c>
      <c r="L430" s="23">
        <v>2.59</v>
      </c>
      <c r="M430" s="23">
        <v>2.59</v>
      </c>
      <c r="N430" s="23">
        <v>2.59</v>
      </c>
      <c r="O430" s="23">
        <v>2.59</v>
      </c>
      <c r="P430" s="23">
        <v>2.59</v>
      </c>
      <c r="Q430" s="23">
        <v>2.59</v>
      </c>
    </row>
    <row r="431" spans="1:17" s="24" customFormat="1" ht="12.75" customHeight="1">
      <c r="A431" s="22" t="s">
        <v>554</v>
      </c>
      <c r="B431" s="23">
        <v>1.21</v>
      </c>
      <c r="J431" s="23">
        <v>1.21</v>
      </c>
      <c r="K431" s="23">
        <v>1.21</v>
      </c>
      <c r="L431" s="23">
        <v>1.21</v>
      </c>
      <c r="M431" s="23">
        <v>1.21</v>
      </c>
      <c r="N431" s="23">
        <v>1.21</v>
      </c>
      <c r="O431" s="23">
        <v>1.21</v>
      </c>
      <c r="P431" s="23">
        <v>1.21</v>
      </c>
      <c r="Q431" s="23">
        <v>1.21</v>
      </c>
    </row>
    <row r="432" spans="1:17" s="24" customFormat="1" ht="12.75" customHeight="1">
      <c r="A432" s="22" t="s">
        <v>555</v>
      </c>
      <c r="B432" s="23">
        <v>2.12</v>
      </c>
      <c r="J432" s="23">
        <v>2.12</v>
      </c>
      <c r="K432" s="23">
        <v>2.12</v>
      </c>
      <c r="L432" s="23">
        <v>2.12</v>
      </c>
      <c r="M432" s="23">
        <v>2.12</v>
      </c>
      <c r="N432" s="23">
        <v>2.12</v>
      </c>
      <c r="O432" s="23">
        <v>2.12</v>
      </c>
      <c r="P432" s="23">
        <v>2.12</v>
      </c>
      <c r="Q432" s="23">
        <v>2.12</v>
      </c>
    </row>
    <row r="433" spans="1:17" s="24" customFormat="1" ht="12.75" customHeight="1">
      <c r="A433" s="22" t="s">
        <v>556</v>
      </c>
      <c r="B433" s="23">
        <v>2.59</v>
      </c>
      <c r="J433" s="23">
        <v>2.59</v>
      </c>
      <c r="K433" s="23">
        <v>2.59</v>
      </c>
      <c r="L433" s="23">
        <v>2.59</v>
      </c>
      <c r="M433" s="23">
        <v>2.59</v>
      </c>
      <c r="N433" s="23">
        <v>2.59</v>
      </c>
      <c r="O433" s="23">
        <v>2.59</v>
      </c>
      <c r="P433" s="23">
        <v>2.59</v>
      </c>
      <c r="Q433" s="23">
        <v>2.59</v>
      </c>
    </row>
    <row r="434" spans="1:17" s="24" customFormat="1" ht="12.75" customHeight="1">
      <c r="A434" s="22" t="s">
        <v>557</v>
      </c>
      <c r="B434" s="23">
        <v>2.59</v>
      </c>
      <c r="J434" s="23">
        <v>2.59</v>
      </c>
      <c r="K434" s="23">
        <v>2.59</v>
      </c>
      <c r="L434" s="23">
        <v>2.59</v>
      </c>
      <c r="M434" s="23">
        <v>2.59</v>
      </c>
      <c r="N434" s="23">
        <v>2.59</v>
      </c>
      <c r="O434" s="23">
        <v>2.59</v>
      </c>
      <c r="P434" s="23">
        <v>2.59</v>
      </c>
      <c r="Q434" s="23">
        <v>2.59</v>
      </c>
    </row>
    <row r="435" spans="1:17" s="24" customFormat="1" ht="12.75" customHeight="1">
      <c r="A435" s="22" t="s">
        <v>558</v>
      </c>
      <c r="B435" s="23">
        <v>2.23</v>
      </c>
      <c r="J435" s="23">
        <v>2.23</v>
      </c>
      <c r="K435" s="23">
        <v>2.23</v>
      </c>
      <c r="L435" s="23">
        <v>2.23</v>
      </c>
      <c r="M435" s="23">
        <v>2.23</v>
      </c>
      <c r="N435" s="23">
        <v>2.23</v>
      </c>
      <c r="O435" s="23">
        <v>2.23</v>
      </c>
      <c r="P435" s="23">
        <v>2.23</v>
      </c>
      <c r="Q435" s="23">
        <v>2.23</v>
      </c>
    </row>
    <row r="436" spans="1:17" s="24" customFormat="1" ht="12.75" customHeight="1">
      <c r="A436" s="22" t="s">
        <v>559</v>
      </c>
      <c r="B436" s="23">
        <v>2.59</v>
      </c>
      <c r="J436" s="23">
        <v>2.59</v>
      </c>
      <c r="K436" s="23">
        <v>2.59</v>
      </c>
      <c r="L436" s="23">
        <v>2.59</v>
      </c>
      <c r="M436" s="23">
        <v>2.59</v>
      </c>
      <c r="N436" s="23">
        <v>2.59</v>
      </c>
      <c r="O436" s="23">
        <v>2.59</v>
      </c>
      <c r="P436" s="23">
        <v>2.59</v>
      </c>
      <c r="Q436" s="23">
        <v>2.59</v>
      </c>
    </row>
    <row r="437" spans="1:17" s="24" customFormat="1" ht="12.75" customHeight="1">
      <c r="A437" s="22" t="s">
        <v>560</v>
      </c>
      <c r="B437" s="23">
        <v>1.74</v>
      </c>
      <c r="J437" s="23">
        <v>1.74</v>
      </c>
      <c r="K437" s="23">
        <v>1.74</v>
      </c>
      <c r="L437" s="23">
        <v>1.74</v>
      </c>
      <c r="M437" s="23">
        <v>1.74</v>
      </c>
      <c r="N437" s="23">
        <v>1.74</v>
      </c>
      <c r="O437" s="23">
        <v>1.74</v>
      </c>
      <c r="P437" s="23">
        <v>1.74</v>
      </c>
      <c r="Q437" s="23">
        <v>1.74</v>
      </c>
    </row>
    <row r="438" spans="1:17" s="24" customFormat="1" ht="12.75" customHeight="1">
      <c r="A438" s="22" t="s">
        <v>561</v>
      </c>
      <c r="B438" s="23">
        <v>2.12</v>
      </c>
      <c r="J438" s="23">
        <v>2.12</v>
      </c>
      <c r="K438" s="23">
        <v>2.12</v>
      </c>
      <c r="L438" s="23">
        <v>2.12</v>
      </c>
      <c r="M438" s="23">
        <v>2.12</v>
      </c>
      <c r="N438" s="23">
        <v>2.12</v>
      </c>
      <c r="O438" s="23">
        <v>2.12</v>
      </c>
      <c r="P438" s="23">
        <v>2.12</v>
      </c>
      <c r="Q438" s="23">
        <v>2.12</v>
      </c>
    </row>
    <row r="439" spans="1:17" s="24" customFormat="1" ht="12.75" customHeight="1">
      <c r="A439" s="22" t="s">
        <v>562</v>
      </c>
      <c r="B439" s="23">
        <v>1.74</v>
      </c>
      <c r="J439" s="23">
        <v>1.74</v>
      </c>
      <c r="K439" s="23">
        <v>1.74</v>
      </c>
      <c r="L439" s="23">
        <v>1.74</v>
      </c>
      <c r="M439" s="23">
        <v>1.74</v>
      </c>
      <c r="N439" s="23">
        <v>1.74</v>
      </c>
      <c r="O439" s="23">
        <v>1.74</v>
      </c>
      <c r="P439" s="23">
        <v>1.74</v>
      </c>
      <c r="Q439" s="23">
        <v>1.74</v>
      </c>
    </row>
    <row r="440" spans="1:17" s="24" customFormat="1" ht="12.75" customHeight="1">
      <c r="A440" s="22" t="s">
        <v>563</v>
      </c>
      <c r="B440" s="23">
        <v>2.12</v>
      </c>
      <c r="J440" s="23">
        <v>2.12</v>
      </c>
      <c r="K440" s="23">
        <v>2.12</v>
      </c>
      <c r="L440" s="23">
        <v>2.12</v>
      </c>
      <c r="M440" s="23">
        <v>2.12</v>
      </c>
      <c r="N440" s="23">
        <v>2.12</v>
      </c>
      <c r="O440" s="23">
        <v>2.12</v>
      </c>
      <c r="P440" s="23">
        <v>2.12</v>
      </c>
      <c r="Q440" s="23">
        <v>2.12</v>
      </c>
    </row>
    <row r="441" spans="1:17" s="24" customFormat="1" ht="12.75" customHeight="1">
      <c r="A441" s="22" t="s">
        <v>564</v>
      </c>
      <c r="B441" s="23">
        <v>1.74</v>
      </c>
      <c r="J441" s="23">
        <v>1.74</v>
      </c>
      <c r="K441" s="23">
        <v>1.74</v>
      </c>
      <c r="L441" s="23">
        <v>1.74</v>
      </c>
      <c r="M441" s="23">
        <v>1.74</v>
      </c>
      <c r="N441" s="23">
        <v>1.74</v>
      </c>
      <c r="O441" s="23">
        <v>1.74</v>
      </c>
      <c r="P441" s="23">
        <v>1.74</v>
      </c>
      <c r="Q441" s="23">
        <v>1.74</v>
      </c>
    </row>
    <row r="442" spans="1:17" s="24" customFormat="1" ht="12.75" customHeight="1">
      <c r="A442" s="22" t="s">
        <v>565</v>
      </c>
      <c r="B442" s="23">
        <v>12</v>
      </c>
      <c r="J442" s="23">
        <v>12</v>
      </c>
      <c r="K442" s="23">
        <v>12</v>
      </c>
      <c r="L442" s="23">
        <v>12</v>
      </c>
      <c r="M442" s="23">
        <v>12</v>
      </c>
      <c r="N442" s="23">
        <v>12</v>
      </c>
      <c r="O442" s="23">
        <v>12</v>
      </c>
      <c r="P442" s="23">
        <v>12</v>
      </c>
      <c r="Q442" s="23">
        <v>12</v>
      </c>
    </row>
    <row r="443" spans="1:17" s="24" customFormat="1" ht="12.75" customHeight="1">
      <c r="A443" s="22" t="s">
        <v>566</v>
      </c>
      <c r="B443" s="23">
        <v>2.23</v>
      </c>
      <c r="J443" s="23">
        <v>2.23</v>
      </c>
      <c r="K443" s="23">
        <v>2.23</v>
      </c>
      <c r="L443" s="23">
        <v>2.23</v>
      </c>
      <c r="M443" s="23">
        <v>2.23</v>
      </c>
      <c r="N443" s="23">
        <v>2.23</v>
      </c>
      <c r="O443" s="23">
        <v>2.23</v>
      </c>
      <c r="P443" s="23">
        <v>2.23</v>
      </c>
      <c r="Q443" s="23">
        <v>2.23</v>
      </c>
    </row>
    <row r="444" spans="1:17" s="24" customFormat="1" ht="12.75" customHeight="1">
      <c r="A444" s="22" t="s">
        <v>567</v>
      </c>
      <c r="B444" s="23">
        <v>1.21</v>
      </c>
      <c r="J444" s="23">
        <v>1.21</v>
      </c>
      <c r="K444" s="23">
        <v>1.21</v>
      </c>
      <c r="L444" s="23">
        <v>1.21</v>
      </c>
      <c r="M444" s="23">
        <v>1.21</v>
      </c>
      <c r="N444" s="23">
        <v>1.21</v>
      </c>
      <c r="O444" s="23">
        <v>1.21</v>
      </c>
      <c r="P444" s="23">
        <v>1.21</v>
      </c>
      <c r="Q444" s="23">
        <v>1.21</v>
      </c>
    </row>
    <row r="445" spans="1:17" s="24" customFormat="1" ht="12.75" customHeight="1">
      <c r="A445" s="22" t="s">
        <v>568</v>
      </c>
      <c r="B445" s="23">
        <v>1.86</v>
      </c>
      <c r="J445" s="23">
        <v>1.86</v>
      </c>
      <c r="K445" s="23">
        <v>1.86</v>
      </c>
      <c r="L445" s="23">
        <v>1.86</v>
      </c>
      <c r="M445" s="23">
        <v>1.86</v>
      </c>
      <c r="N445" s="23">
        <v>1.86</v>
      </c>
      <c r="O445" s="23">
        <v>1.86</v>
      </c>
      <c r="P445" s="23">
        <v>1.86</v>
      </c>
      <c r="Q445" s="23">
        <v>1.86</v>
      </c>
    </row>
    <row r="446" spans="1:17" s="24" customFormat="1" ht="12.75" customHeight="1">
      <c r="A446" s="22" t="s">
        <v>569</v>
      </c>
      <c r="B446" s="23">
        <v>2.12</v>
      </c>
      <c r="J446" s="23">
        <v>2.12</v>
      </c>
      <c r="K446" s="23">
        <v>2.12</v>
      </c>
      <c r="L446" s="23">
        <v>2.12</v>
      </c>
      <c r="M446" s="23">
        <v>2.12</v>
      </c>
      <c r="N446" s="23">
        <v>2.12</v>
      </c>
      <c r="O446" s="23">
        <v>2.12</v>
      </c>
      <c r="P446" s="23">
        <v>2.12</v>
      </c>
      <c r="Q446" s="23">
        <v>2.12</v>
      </c>
    </row>
    <row r="447" spans="1:17" s="24" customFormat="1" ht="12.75" customHeight="1">
      <c r="A447" s="22" t="s">
        <v>570</v>
      </c>
      <c r="B447" s="23">
        <v>1.86</v>
      </c>
      <c r="J447" s="23">
        <v>1.86</v>
      </c>
      <c r="K447" s="23">
        <v>1.86</v>
      </c>
      <c r="L447" s="23">
        <v>1.86</v>
      </c>
      <c r="M447" s="23">
        <v>1.86</v>
      </c>
      <c r="N447" s="23">
        <v>1.86</v>
      </c>
      <c r="O447" s="23">
        <v>1.86</v>
      </c>
      <c r="P447" s="23">
        <v>1.86</v>
      </c>
      <c r="Q447" s="23">
        <v>1.86</v>
      </c>
    </row>
    <row r="448" spans="1:17" s="24" customFormat="1" ht="12.75" customHeight="1">
      <c r="A448" s="22" t="s">
        <v>571</v>
      </c>
      <c r="B448" s="23">
        <v>2.12</v>
      </c>
      <c r="J448" s="23">
        <v>2.12</v>
      </c>
      <c r="K448" s="23">
        <v>2.12</v>
      </c>
      <c r="L448" s="23">
        <v>2.12</v>
      </c>
      <c r="M448" s="23">
        <v>2.12</v>
      </c>
      <c r="N448" s="23">
        <v>2.12</v>
      </c>
      <c r="O448" s="23">
        <v>2.12</v>
      </c>
      <c r="P448" s="23">
        <v>2.12</v>
      </c>
      <c r="Q448" s="23">
        <v>2.12</v>
      </c>
    </row>
    <row r="449" spans="1:17" s="24" customFormat="1" ht="12.75" customHeight="1">
      <c r="A449" s="22" t="s">
        <v>572</v>
      </c>
      <c r="B449" s="23">
        <v>1.21</v>
      </c>
      <c r="J449" s="23">
        <v>1.21</v>
      </c>
      <c r="K449" s="23">
        <v>1.21</v>
      </c>
      <c r="L449" s="23">
        <v>1.21</v>
      </c>
      <c r="M449" s="23">
        <v>1.21</v>
      </c>
      <c r="N449" s="23">
        <v>1.21</v>
      </c>
      <c r="O449" s="23">
        <v>1.21</v>
      </c>
      <c r="P449" s="23">
        <v>1.21</v>
      </c>
      <c r="Q449" s="23">
        <v>1.21</v>
      </c>
    </row>
    <row r="450" spans="1:17" s="24" customFormat="1" ht="12.75" customHeight="1">
      <c r="A450" s="22" t="s">
        <v>573</v>
      </c>
      <c r="B450" s="23">
        <v>2.59</v>
      </c>
      <c r="J450" s="23">
        <v>2.59</v>
      </c>
      <c r="K450" s="23">
        <v>2.59</v>
      </c>
      <c r="L450" s="23">
        <v>2.59</v>
      </c>
      <c r="M450" s="23">
        <v>2.59</v>
      </c>
      <c r="N450" s="23">
        <v>2.59</v>
      </c>
      <c r="O450" s="23">
        <v>2.59</v>
      </c>
      <c r="P450" s="23">
        <v>2.59</v>
      </c>
      <c r="Q450" s="23">
        <v>2.59</v>
      </c>
    </row>
    <row r="451" spans="1:17" s="24" customFormat="1" ht="12.75" customHeight="1">
      <c r="A451" s="22" t="s">
        <v>574</v>
      </c>
      <c r="B451" s="23">
        <v>2.59</v>
      </c>
      <c r="J451" s="23">
        <v>2.59</v>
      </c>
      <c r="K451" s="23">
        <v>2.59</v>
      </c>
      <c r="L451" s="23">
        <v>2.59</v>
      </c>
      <c r="M451" s="23">
        <v>2.59</v>
      </c>
      <c r="N451" s="23">
        <v>2.59</v>
      </c>
      <c r="O451" s="23">
        <v>2.59</v>
      </c>
      <c r="P451" s="23">
        <v>2.59</v>
      </c>
      <c r="Q451" s="23">
        <v>2.59</v>
      </c>
    </row>
    <row r="452" spans="1:17" s="24" customFormat="1" ht="12.75" customHeight="1">
      <c r="A452" s="22" t="s">
        <v>575</v>
      </c>
      <c r="B452" s="23">
        <v>1.86</v>
      </c>
      <c r="J452" s="23">
        <v>1.86</v>
      </c>
      <c r="K452" s="23">
        <v>1.86</v>
      </c>
      <c r="L452" s="23">
        <v>1.86</v>
      </c>
      <c r="M452" s="23">
        <v>1.86</v>
      </c>
      <c r="N452" s="23">
        <v>1.86</v>
      </c>
      <c r="O452" s="23">
        <v>1.86</v>
      </c>
      <c r="P452" s="23">
        <v>1.86</v>
      </c>
      <c r="Q452" s="23">
        <v>1.86</v>
      </c>
    </row>
    <row r="453" spans="1:17" s="24" customFormat="1" ht="12.75" customHeight="1">
      <c r="A453" s="22" t="s">
        <v>576</v>
      </c>
      <c r="B453" s="23">
        <v>2.12</v>
      </c>
      <c r="J453" s="23">
        <v>2.12</v>
      </c>
      <c r="K453" s="23">
        <v>2.12</v>
      </c>
      <c r="L453" s="23">
        <v>2.12</v>
      </c>
      <c r="M453" s="23">
        <v>2.12</v>
      </c>
      <c r="N453" s="23">
        <v>2.12</v>
      </c>
      <c r="O453" s="23">
        <v>2.12</v>
      </c>
      <c r="P453" s="23">
        <v>2.12</v>
      </c>
      <c r="Q453" s="23">
        <v>2.12</v>
      </c>
    </row>
    <row r="454" spans="1:17" s="24" customFormat="1" ht="12.75" customHeight="1">
      <c r="A454" s="22" t="s">
        <v>577</v>
      </c>
      <c r="B454" s="23">
        <v>1.47</v>
      </c>
      <c r="J454" s="23">
        <v>1.47</v>
      </c>
      <c r="K454" s="23">
        <v>1.47</v>
      </c>
      <c r="L454" s="23">
        <v>1.47</v>
      </c>
      <c r="M454" s="23">
        <v>1.47</v>
      </c>
      <c r="N454" s="23">
        <v>1.47</v>
      </c>
      <c r="O454" s="23">
        <v>1.47</v>
      </c>
      <c r="P454" s="23">
        <v>1.47</v>
      </c>
      <c r="Q454" s="23">
        <v>1.47</v>
      </c>
    </row>
    <row r="455" spans="1:17" s="24" customFormat="1" ht="12.75" customHeight="1">
      <c r="A455" s="22" t="s">
        <v>578</v>
      </c>
      <c r="B455" s="23">
        <v>1.21</v>
      </c>
      <c r="J455" s="23">
        <v>1.21</v>
      </c>
      <c r="K455" s="23">
        <v>1.21</v>
      </c>
      <c r="L455" s="23">
        <v>1.21</v>
      </c>
      <c r="M455" s="23">
        <v>1.21</v>
      </c>
      <c r="N455" s="23">
        <v>1.21</v>
      </c>
      <c r="O455" s="23">
        <v>1.21</v>
      </c>
      <c r="P455" s="23">
        <v>1.21</v>
      </c>
      <c r="Q455" s="23">
        <v>1.21</v>
      </c>
    </row>
    <row r="456" spans="1:17" s="24" customFormat="1" ht="12.75" customHeight="1">
      <c r="A456" s="22" t="s">
        <v>579</v>
      </c>
      <c r="B456" s="23">
        <v>1.86</v>
      </c>
      <c r="J456" s="23">
        <v>1.86</v>
      </c>
      <c r="K456" s="23">
        <v>1.86</v>
      </c>
      <c r="L456" s="23">
        <v>1.86</v>
      </c>
      <c r="M456" s="23">
        <v>1.86</v>
      </c>
      <c r="N456" s="23">
        <v>1.86</v>
      </c>
      <c r="O456" s="23">
        <v>1.86</v>
      </c>
      <c r="P456" s="23">
        <v>1.86</v>
      </c>
      <c r="Q456" s="23">
        <v>1.86</v>
      </c>
    </row>
    <row r="457" spans="1:17" s="24" customFormat="1" ht="12.75" customHeight="1">
      <c r="A457" s="22" t="s">
        <v>580</v>
      </c>
      <c r="B457" s="23">
        <v>1.21</v>
      </c>
      <c r="J457" s="23">
        <v>1.21</v>
      </c>
      <c r="K457" s="23">
        <v>1.21</v>
      </c>
      <c r="L457" s="23">
        <v>1.21</v>
      </c>
      <c r="M457" s="23">
        <v>1.21</v>
      </c>
      <c r="N457" s="23">
        <v>1.21</v>
      </c>
      <c r="O457" s="23">
        <v>1.21</v>
      </c>
      <c r="P457" s="23">
        <v>1.21</v>
      </c>
      <c r="Q457" s="23">
        <v>1.21</v>
      </c>
    </row>
    <row r="458" spans="1:17" s="24" customFormat="1" ht="12.75" customHeight="1">
      <c r="A458" s="22" t="s">
        <v>581</v>
      </c>
      <c r="B458" s="23">
        <v>2.59</v>
      </c>
      <c r="J458" s="23">
        <v>2.59</v>
      </c>
      <c r="K458" s="23">
        <v>2.59</v>
      </c>
      <c r="L458" s="23">
        <v>2.59</v>
      </c>
      <c r="M458" s="23">
        <v>2.59</v>
      </c>
      <c r="N458" s="23">
        <v>2.59</v>
      </c>
      <c r="O458" s="23">
        <v>2.59</v>
      </c>
      <c r="P458" s="23">
        <v>2.59</v>
      </c>
      <c r="Q458" s="23">
        <v>2.59</v>
      </c>
    </row>
    <row r="459" spans="1:17" s="24" customFormat="1" ht="12.75" customHeight="1">
      <c r="A459" s="22" t="s">
        <v>582</v>
      </c>
      <c r="B459" s="23">
        <v>2.59</v>
      </c>
      <c r="J459" s="23">
        <v>2.59</v>
      </c>
      <c r="K459" s="23">
        <v>2.59</v>
      </c>
      <c r="L459" s="23">
        <v>2.59</v>
      </c>
      <c r="M459" s="23">
        <v>2.59</v>
      </c>
      <c r="N459" s="23">
        <v>2.59</v>
      </c>
      <c r="O459" s="23">
        <v>2.59</v>
      </c>
      <c r="P459" s="23">
        <v>2.59</v>
      </c>
      <c r="Q459" s="23">
        <v>2.59</v>
      </c>
    </row>
    <row r="460" spans="1:17" s="24" customFormat="1" ht="12.75" customHeight="1">
      <c r="A460" s="22" t="s">
        <v>583</v>
      </c>
      <c r="B460" s="23">
        <v>1.21</v>
      </c>
      <c r="J460" s="23">
        <v>1.21</v>
      </c>
      <c r="K460" s="23">
        <v>1.21</v>
      </c>
      <c r="L460" s="23">
        <v>1.21</v>
      </c>
      <c r="M460" s="23">
        <v>1.21</v>
      </c>
      <c r="N460" s="23">
        <v>1.21</v>
      </c>
      <c r="O460" s="23">
        <v>1.21</v>
      </c>
      <c r="P460" s="23">
        <v>1.21</v>
      </c>
      <c r="Q460" s="23">
        <v>1.21</v>
      </c>
    </row>
    <row r="461" spans="1:17" s="24" customFormat="1" ht="12.75" customHeight="1">
      <c r="A461" s="22" t="s">
        <v>584</v>
      </c>
      <c r="B461" s="23">
        <v>1.74</v>
      </c>
      <c r="J461" s="23">
        <v>1.74</v>
      </c>
      <c r="K461" s="23">
        <v>1.74</v>
      </c>
      <c r="L461" s="23">
        <v>1.74</v>
      </c>
      <c r="M461" s="23">
        <v>1.74</v>
      </c>
      <c r="N461" s="23">
        <v>1.74</v>
      </c>
      <c r="O461" s="23">
        <v>1.74</v>
      </c>
      <c r="P461" s="23">
        <v>1.74</v>
      </c>
      <c r="Q461" s="23">
        <v>1.74</v>
      </c>
    </row>
    <row r="462" spans="1:17" s="24" customFormat="1" ht="12.75" customHeight="1">
      <c r="A462" s="22" t="s">
        <v>585</v>
      </c>
      <c r="B462" s="23">
        <v>2.23</v>
      </c>
      <c r="J462" s="23">
        <v>2.23</v>
      </c>
      <c r="K462" s="23">
        <v>2.23</v>
      </c>
      <c r="L462" s="23">
        <v>2.23</v>
      </c>
      <c r="M462" s="23">
        <v>2.23</v>
      </c>
      <c r="N462" s="23">
        <v>2.23</v>
      </c>
      <c r="O462" s="23">
        <v>2.23</v>
      </c>
      <c r="P462" s="23">
        <v>2.23</v>
      </c>
      <c r="Q462" s="23">
        <v>2.23</v>
      </c>
    </row>
    <row r="463" spans="1:17" s="24" customFormat="1" ht="12.75" customHeight="1">
      <c r="A463" s="22" t="s">
        <v>586</v>
      </c>
      <c r="B463" s="23">
        <v>2.23</v>
      </c>
      <c r="J463" s="23">
        <v>2.23</v>
      </c>
      <c r="K463" s="23">
        <v>2.23</v>
      </c>
      <c r="L463" s="23">
        <v>2.23</v>
      </c>
      <c r="M463" s="23">
        <v>2.23</v>
      </c>
      <c r="N463" s="23">
        <v>2.23</v>
      </c>
      <c r="O463" s="23">
        <v>2.23</v>
      </c>
      <c r="P463" s="23">
        <v>2.23</v>
      </c>
      <c r="Q463" s="23">
        <v>2.23</v>
      </c>
    </row>
    <row r="464" spans="1:17" s="24" customFormat="1" ht="12.75" customHeight="1">
      <c r="A464" s="22" t="s">
        <v>587</v>
      </c>
      <c r="B464" s="23">
        <v>2.12</v>
      </c>
      <c r="J464" s="23">
        <v>2.12</v>
      </c>
      <c r="K464" s="23">
        <v>2.12</v>
      </c>
      <c r="L464" s="23">
        <v>2.12</v>
      </c>
      <c r="M464" s="23">
        <v>2.12</v>
      </c>
      <c r="N464" s="23">
        <v>2.12</v>
      </c>
      <c r="O464" s="23">
        <v>2.12</v>
      </c>
      <c r="P464" s="23">
        <v>2.12</v>
      </c>
      <c r="Q464" s="23">
        <v>2.12</v>
      </c>
    </row>
    <row r="465" spans="1:17" s="24" customFormat="1" ht="12.75" customHeight="1">
      <c r="A465" s="22" t="s">
        <v>588</v>
      </c>
      <c r="B465" s="23">
        <v>1.21</v>
      </c>
      <c r="J465" s="23">
        <v>1.21</v>
      </c>
      <c r="K465" s="23">
        <v>1.21</v>
      </c>
      <c r="L465" s="23">
        <v>1.21</v>
      </c>
      <c r="M465" s="23">
        <v>1.21</v>
      </c>
      <c r="N465" s="23">
        <v>1.21</v>
      </c>
      <c r="O465" s="23">
        <v>1.21</v>
      </c>
      <c r="P465" s="23">
        <v>1.21</v>
      </c>
      <c r="Q465" s="23">
        <v>1.21</v>
      </c>
    </row>
    <row r="466" spans="1:17" s="24" customFormat="1" ht="12.75" customHeight="1">
      <c r="A466" s="22" t="s">
        <v>589</v>
      </c>
      <c r="B466" s="23">
        <v>1.21</v>
      </c>
      <c r="J466" s="23">
        <v>1.21</v>
      </c>
      <c r="K466" s="23">
        <v>1.21</v>
      </c>
      <c r="L466" s="23">
        <v>1.21</v>
      </c>
      <c r="M466" s="23">
        <v>1.21</v>
      </c>
      <c r="N466" s="23">
        <v>1.21</v>
      </c>
      <c r="O466" s="23">
        <v>1.21</v>
      </c>
      <c r="P466" s="23">
        <v>1.21</v>
      </c>
      <c r="Q466" s="23">
        <v>1.21</v>
      </c>
    </row>
    <row r="467" spans="1:17" s="24" customFormat="1" ht="12.75" customHeight="1">
      <c r="A467" s="22" t="s">
        <v>590</v>
      </c>
      <c r="B467" s="23">
        <v>1.21</v>
      </c>
      <c r="J467" s="23">
        <v>1.21</v>
      </c>
      <c r="K467" s="23">
        <v>1.21</v>
      </c>
      <c r="L467" s="23">
        <v>1.21</v>
      </c>
      <c r="M467" s="23">
        <v>1.21</v>
      </c>
      <c r="N467" s="23">
        <v>1.21</v>
      </c>
      <c r="O467" s="23">
        <v>1.21</v>
      </c>
      <c r="P467" s="23">
        <v>1.21</v>
      </c>
      <c r="Q467" s="23">
        <v>1.21</v>
      </c>
    </row>
    <row r="468" spans="1:17" s="24" customFormat="1" ht="12.75" customHeight="1">
      <c r="A468" s="22" t="s">
        <v>591</v>
      </c>
      <c r="B468" s="23">
        <v>1.74</v>
      </c>
      <c r="J468" s="23">
        <v>1.74</v>
      </c>
      <c r="K468" s="23">
        <v>1.74</v>
      </c>
      <c r="L468" s="23">
        <v>1.74</v>
      </c>
      <c r="M468" s="23">
        <v>1.74</v>
      </c>
      <c r="N468" s="23">
        <v>1.74</v>
      </c>
      <c r="O468" s="23">
        <v>1.74</v>
      </c>
      <c r="P468" s="23">
        <v>1.74</v>
      </c>
      <c r="Q468" s="23">
        <v>1.74</v>
      </c>
    </row>
    <row r="469" spans="1:17" s="24" customFormat="1" ht="12.75" customHeight="1">
      <c r="A469" s="22" t="s">
        <v>592</v>
      </c>
      <c r="B469" s="23">
        <v>2.59</v>
      </c>
      <c r="J469" s="23">
        <v>2.59</v>
      </c>
      <c r="K469" s="23">
        <v>2.59</v>
      </c>
      <c r="L469" s="23">
        <v>2.59</v>
      </c>
      <c r="M469" s="23">
        <v>2.59</v>
      </c>
      <c r="N469" s="23">
        <v>2.59</v>
      </c>
      <c r="O469" s="23">
        <v>2.59</v>
      </c>
      <c r="P469" s="23">
        <v>2.59</v>
      </c>
      <c r="Q469" s="23">
        <v>2.59</v>
      </c>
    </row>
    <row r="470" spans="1:17" s="24" customFormat="1" ht="12.75" customHeight="1">
      <c r="A470" s="22" t="s">
        <v>593</v>
      </c>
      <c r="B470" s="23">
        <v>1.74</v>
      </c>
      <c r="J470" s="23">
        <v>1.74</v>
      </c>
      <c r="K470" s="23">
        <v>1.74</v>
      </c>
      <c r="L470" s="23">
        <v>1.74</v>
      </c>
      <c r="M470" s="23">
        <v>1.74</v>
      </c>
      <c r="N470" s="23">
        <v>1.74</v>
      </c>
      <c r="O470" s="23">
        <v>1.74</v>
      </c>
      <c r="P470" s="23">
        <v>1.74</v>
      </c>
      <c r="Q470" s="23">
        <v>1.74</v>
      </c>
    </row>
    <row r="471" spans="1:17" s="24" customFormat="1" ht="12.75" customHeight="1">
      <c r="A471" s="22" t="s">
        <v>594</v>
      </c>
      <c r="B471" s="23">
        <v>1.86</v>
      </c>
      <c r="J471" s="23">
        <v>1.86</v>
      </c>
      <c r="K471" s="23">
        <v>1.86</v>
      </c>
      <c r="L471" s="23">
        <v>1.86</v>
      </c>
      <c r="M471" s="23">
        <v>1.86</v>
      </c>
      <c r="N471" s="23">
        <v>1.86</v>
      </c>
      <c r="O471" s="23">
        <v>1.86</v>
      </c>
      <c r="P471" s="23">
        <v>1.86</v>
      </c>
      <c r="Q471" s="23">
        <v>1.86</v>
      </c>
    </row>
    <row r="472" spans="1:17" s="24" customFormat="1" ht="12.75" customHeight="1">
      <c r="A472" s="26" t="s">
        <v>595</v>
      </c>
      <c r="B472" s="23">
        <v>2.12</v>
      </c>
      <c r="J472" s="23">
        <v>2.12</v>
      </c>
      <c r="K472" s="23">
        <v>2.12</v>
      </c>
      <c r="L472" s="23">
        <v>2.12</v>
      </c>
      <c r="M472" s="23">
        <v>2.12</v>
      </c>
      <c r="N472" s="23">
        <v>2.12</v>
      </c>
      <c r="O472" s="23">
        <v>2.12</v>
      </c>
      <c r="P472" s="23">
        <v>2.12</v>
      </c>
      <c r="Q472" s="23">
        <v>2.12</v>
      </c>
    </row>
    <row r="473" spans="1:17" s="24" customFormat="1" ht="12.75" customHeight="1">
      <c r="A473" s="22" t="s">
        <v>596</v>
      </c>
      <c r="B473" s="23">
        <v>1.74</v>
      </c>
      <c r="J473" s="23">
        <v>1.74</v>
      </c>
      <c r="K473" s="23">
        <v>1.74</v>
      </c>
      <c r="L473" s="23">
        <v>1.74</v>
      </c>
      <c r="M473" s="23">
        <v>1.74</v>
      </c>
      <c r="N473" s="23">
        <v>1.74</v>
      </c>
      <c r="O473" s="23">
        <v>1.74</v>
      </c>
      <c r="P473" s="23">
        <v>1.74</v>
      </c>
      <c r="Q473" s="23">
        <v>1.74</v>
      </c>
    </row>
    <row r="474" spans="1:17" s="24" customFormat="1" ht="12.75" customHeight="1">
      <c r="A474" s="22" t="s">
        <v>597</v>
      </c>
      <c r="B474" s="23">
        <v>12</v>
      </c>
      <c r="J474" s="23">
        <v>12</v>
      </c>
      <c r="K474" s="23">
        <v>12</v>
      </c>
      <c r="L474" s="23">
        <v>12</v>
      </c>
      <c r="M474" s="23">
        <v>12</v>
      </c>
      <c r="N474" s="23">
        <v>12</v>
      </c>
      <c r="O474" s="23">
        <v>12</v>
      </c>
      <c r="P474" s="23">
        <v>12</v>
      </c>
      <c r="Q474" s="23">
        <v>12</v>
      </c>
    </row>
    <row r="475" spans="1:17" s="24" customFormat="1" ht="12.75" customHeight="1">
      <c r="A475" s="22" t="s">
        <v>598</v>
      </c>
      <c r="B475" s="23">
        <v>2.23</v>
      </c>
      <c r="J475" s="23">
        <v>2.23</v>
      </c>
      <c r="K475" s="23">
        <v>2.23</v>
      </c>
      <c r="L475" s="23">
        <v>2.23</v>
      </c>
      <c r="M475" s="23">
        <v>2.23</v>
      </c>
      <c r="N475" s="23">
        <v>2.23</v>
      </c>
      <c r="O475" s="23">
        <v>2.23</v>
      </c>
      <c r="P475" s="23">
        <v>2.23</v>
      </c>
      <c r="Q475" s="23">
        <v>2.23</v>
      </c>
    </row>
    <row r="476" spans="1:17" s="24" customFormat="1" ht="12.75" customHeight="1">
      <c r="A476" s="22" t="s">
        <v>599</v>
      </c>
      <c r="B476" s="23">
        <v>2.59</v>
      </c>
      <c r="J476" s="23">
        <v>2.59</v>
      </c>
      <c r="K476" s="23">
        <v>2.59</v>
      </c>
      <c r="L476" s="23">
        <v>2.59</v>
      </c>
      <c r="M476" s="23">
        <v>2.59</v>
      </c>
      <c r="N476" s="23">
        <v>2.59</v>
      </c>
      <c r="O476" s="23">
        <v>2.59</v>
      </c>
      <c r="P476" s="23">
        <v>2.59</v>
      </c>
      <c r="Q476" s="23">
        <v>2.59</v>
      </c>
    </row>
    <row r="477" spans="1:17" s="24" customFormat="1" ht="12.75" customHeight="1">
      <c r="A477" s="22" t="s">
        <v>600</v>
      </c>
      <c r="B477" s="27">
        <v>1.86</v>
      </c>
      <c r="J477" s="27">
        <v>1.86</v>
      </c>
      <c r="K477" s="27">
        <v>1.86</v>
      </c>
      <c r="L477" s="27">
        <v>1.86</v>
      </c>
      <c r="M477" s="27">
        <v>1.86</v>
      </c>
      <c r="N477" s="27">
        <v>1.86</v>
      </c>
      <c r="O477" s="27">
        <v>1.86</v>
      </c>
      <c r="P477" s="27">
        <v>1.86</v>
      </c>
      <c r="Q477" s="27">
        <v>1.86</v>
      </c>
    </row>
    <row r="478" spans="1:17" s="24" customFormat="1" ht="12.75" customHeight="1">
      <c r="A478" s="28" t="s">
        <v>601</v>
      </c>
      <c r="B478" s="23">
        <v>2.59</v>
      </c>
      <c r="J478" s="23">
        <v>2.59</v>
      </c>
      <c r="K478" s="23">
        <v>2.59</v>
      </c>
      <c r="L478" s="23">
        <v>2.59</v>
      </c>
      <c r="M478" s="23">
        <v>2.59</v>
      </c>
      <c r="N478" s="23">
        <v>2.59</v>
      </c>
      <c r="O478" s="23">
        <v>2.59</v>
      </c>
      <c r="P478" s="23">
        <v>2.59</v>
      </c>
      <c r="Q478" s="23">
        <v>2.59</v>
      </c>
    </row>
    <row r="479" spans="1:17" ht="12.75" customHeight="1">
      <c r="N479" s="24"/>
    </row>
    <row r="480" spans="1:17" ht="12.75" customHeight="1">
      <c r="N480" s="24"/>
    </row>
    <row r="481" spans="14:14" ht="12.75" customHeight="1">
      <c r="N481" s="24"/>
    </row>
    <row r="482" spans="14:14" ht="12.75" customHeight="1">
      <c r="N482" s="24"/>
    </row>
    <row r="483" spans="14:14" ht="12.75" customHeight="1">
      <c r="N483" s="24"/>
    </row>
    <row r="484" spans="14:14" ht="12.75" customHeight="1">
      <c r="N484" s="24"/>
    </row>
    <row r="485" spans="14:14" ht="12.75" customHeight="1">
      <c r="N485" s="24"/>
    </row>
    <row r="486" spans="14:14" ht="12.75" customHeight="1">
      <c r="N486" s="24"/>
    </row>
    <row r="487" spans="14:14" ht="12.75" customHeight="1">
      <c r="N487" s="24"/>
    </row>
    <row r="488" spans="14:14" ht="12.75" customHeight="1">
      <c r="N488" s="24"/>
    </row>
    <row r="489" spans="14:14" ht="12.75" customHeight="1">
      <c r="N489" s="24"/>
    </row>
    <row r="490" spans="14:14" ht="12.75" customHeight="1">
      <c r="N490" s="24"/>
    </row>
    <row r="491" spans="14:14" ht="12.75" customHeight="1">
      <c r="N491" s="24"/>
    </row>
    <row r="492" spans="14:14" ht="12.75" customHeight="1">
      <c r="N492" s="24"/>
    </row>
    <row r="493" spans="14:14" ht="12.75" customHeight="1">
      <c r="N493" s="24"/>
    </row>
    <row r="494" spans="14:14" ht="12.75" customHeight="1">
      <c r="N494" s="24"/>
    </row>
    <row r="495" spans="14:14" ht="12.75" customHeight="1">
      <c r="N495" s="24"/>
    </row>
    <row r="496" spans="14:14" ht="12.75" customHeight="1">
      <c r="N496" s="24"/>
    </row>
    <row r="497" spans="14:14" ht="12.75" customHeight="1">
      <c r="N497" s="24"/>
    </row>
    <row r="498" spans="14:14" ht="12.75" customHeight="1">
      <c r="N498" s="24"/>
    </row>
    <row r="499" spans="14:14" ht="12.75" customHeight="1">
      <c r="N499" s="24"/>
    </row>
    <row r="500" spans="14:14" ht="12.75" customHeight="1">
      <c r="N500" s="24"/>
    </row>
    <row r="501" spans="14:14" ht="12.75" customHeight="1">
      <c r="N501" s="24"/>
    </row>
    <row r="502" spans="14:14" ht="12.75" customHeight="1">
      <c r="N502" s="24"/>
    </row>
    <row r="503" spans="14:14" ht="12.75" customHeight="1">
      <c r="N503" s="24"/>
    </row>
    <row r="504" spans="14:14" ht="12.75" customHeight="1">
      <c r="N504" s="24"/>
    </row>
    <row r="505" spans="14:14" ht="12.75" customHeight="1">
      <c r="N505" s="24"/>
    </row>
    <row r="506" spans="14:14" ht="12.75" customHeight="1">
      <c r="N506" s="24"/>
    </row>
    <row r="507" spans="14:14" ht="12.75" customHeight="1">
      <c r="N507" s="24"/>
    </row>
    <row r="508" spans="14:14" ht="12.75" customHeight="1">
      <c r="N508" s="24"/>
    </row>
    <row r="509" spans="14:14" ht="12.75" customHeight="1">
      <c r="N509" s="24"/>
    </row>
    <row r="510" spans="14:14" ht="12.75" customHeight="1">
      <c r="N510" s="24"/>
    </row>
    <row r="511" spans="14:14" ht="12.75" customHeight="1">
      <c r="N511" s="24"/>
    </row>
    <row r="512" spans="14:14" ht="12.75" customHeight="1">
      <c r="N512" s="24"/>
    </row>
    <row r="513" spans="14:14" ht="12.75" customHeight="1">
      <c r="N513" s="24"/>
    </row>
    <row r="514" spans="14:14" ht="12.75" customHeight="1">
      <c r="N514" s="24"/>
    </row>
    <row r="515" spans="14:14" ht="12.75" customHeight="1">
      <c r="N515" s="24"/>
    </row>
    <row r="516" spans="14:14" ht="12.75" customHeight="1">
      <c r="N516" s="24"/>
    </row>
    <row r="517" spans="14:14" ht="12.75" customHeight="1">
      <c r="N517" s="24"/>
    </row>
    <row r="518" spans="14:14" ht="12.75" customHeight="1">
      <c r="N518" s="24"/>
    </row>
    <row r="519" spans="14:14" ht="12.75" customHeight="1">
      <c r="N519" s="24"/>
    </row>
    <row r="520" spans="14:14" ht="12.75" customHeight="1">
      <c r="N520" s="24"/>
    </row>
    <row r="521" spans="14:14" ht="12.75" customHeight="1">
      <c r="N521" s="24"/>
    </row>
    <row r="522" spans="14:14" ht="12.75" customHeight="1">
      <c r="N522" s="24"/>
    </row>
    <row r="523" spans="14:14" ht="12.75" customHeight="1">
      <c r="N523" s="24"/>
    </row>
    <row r="524" spans="14:14" ht="12.75" customHeight="1">
      <c r="N524" s="24"/>
    </row>
    <row r="525" spans="14:14" ht="12.75" customHeight="1">
      <c r="N525" s="24"/>
    </row>
    <row r="526" spans="14:14" ht="12.75" customHeight="1">
      <c r="N526" s="24"/>
    </row>
    <row r="527" spans="14:14" ht="12.75" customHeight="1">
      <c r="N527" s="24"/>
    </row>
    <row r="528" spans="14:14" ht="12.75" customHeight="1">
      <c r="N528" s="24"/>
    </row>
    <row r="529" spans="14:14" ht="12.75" customHeight="1">
      <c r="N529" s="24"/>
    </row>
    <row r="530" spans="14:14" ht="12.75" customHeight="1">
      <c r="N530" s="24"/>
    </row>
    <row r="531" spans="14:14" ht="12.75" customHeight="1">
      <c r="N531" s="24"/>
    </row>
    <row r="532" spans="14:14" ht="12.75" customHeight="1">
      <c r="N532" s="24"/>
    </row>
    <row r="533" spans="14:14" ht="12.75" customHeight="1">
      <c r="N533" s="24"/>
    </row>
    <row r="534" spans="14:14" ht="12.75" customHeight="1">
      <c r="N534" s="24"/>
    </row>
    <row r="535" spans="14:14" ht="12.75" customHeight="1">
      <c r="N535" s="24"/>
    </row>
    <row r="536" spans="14:14" ht="12.75" customHeight="1">
      <c r="N536" s="24"/>
    </row>
    <row r="537" spans="14:14" ht="12.75" customHeight="1">
      <c r="N537" s="24"/>
    </row>
    <row r="538" spans="14:14" ht="12.75" customHeight="1">
      <c r="N538" s="24"/>
    </row>
    <row r="539" spans="14:14" ht="12.75" customHeight="1">
      <c r="N539" s="24"/>
    </row>
    <row r="540" spans="14:14" ht="12.75" customHeight="1">
      <c r="N540" s="24"/>
    </row>
    <row r="541" spans="14:14" ht="12.75" customHeight="1">
      <c r="N541" s="24"/>
    </row>
    <row r="542" spans="14:14" ht="12.75" customHeight="1">
      <c r="N542" s="24"/>
    </row>
    <row r="543" spans="14:14" ht="12.75" customHeight="1">
      <c r="N543" s="24"/>
    </row>
    <row r="544" spans="14:14" ht="12.75" customHeight="1">
      <c r="N544" s="24"/>
    </row>
    <row r="545" spans="14:14" ht="12.75" customHeight="1">
      <c r="N545" s="24"/>
    </row>
    <row r="546" spans="14:14" ht="12.75" customHeight="1">
      <c r="N546" s="24"/>
    </row>
    <row r="547" spans="14:14" ht="12.75" customHeight="1">
      <c r="N547" s="24"/>
    </row>
    <row r="548" spans="14:14" ht="12.75" customHeight="1">
      <c r="N548" s="24"/>
    </row>
    <row r="549" spans="14:14" ht="12.75" customHeight="1">
      <c r="N549" s="24"/>
    </row>
    <row r="550" spans="14:14" ht="12.75" customHeight="1">
      <c r="N550" s="24"/>
    </row>
    <row r="551" spans="14:14" ht="12.75" customHeight="1">
      <c r="N551" s="24"/>
    </row>
    <row r="552" spans="14:14" ht="12.75" customHeight="1">
      <c r="N552" s="24"/>
    </row>
    <row r="553" spans="14:14" ht="12.75" customHeight="1">
      <c r="N553" s="24"/>
    </row>
    <row r="554" spans="14:14" ht="12.75" customHeight="1">
      <c r="N554" s="24"/>
    </row>
    <row r="555" spans="14:14" ht="12.75" customHeight="1">
      <c r="N555" s="24"/>
    </row>
    <row r="556" spans="14:14" ht="12.75" customHeight="1">
      <c r="N556" s="24"/>
    </row>
    <row r="557" spans="14:14" ht="12.75" customHeight="1">
      <c r="N557" s="24"/>
    </row>
    <row r="558" spans="14:14" ht="12.75" customHeight="1">
      <c r="N558" s="24"/>
    </row>
    <row r="559" spans="14:14" ht="12.75" customHeight="1">
      <c r="N559" s="24"/>
    </row>
    <row r="560" spans="14:14" ht="12.75" customHeight="1">
      <c r="N560" s="24"/>
    </row>
    <row r="561" spans="14:14" ht="12.75" customHeight="1">
      <c r="N561" s="24"/>
    </row>
    <row r="562" spans="14:14" ht="12.75" customHeight="1">
      <c r="N562" s="24"/>
    </row>
    <row r="563" spans="14:14" ht="12.75" customHeight="1">
      <c r="N563" s="24"/>
    </row>
    <row r="564" spans="14:14" ht="12.75" customHeight="1">
      <c r="N564" s="24"/>
    </row>
    <row r="565" spans="14:14" ht="12.75" customHeight="1">
      <c r="N565" s="24"/>
    </row>
    <row r="566" spans="14:14" ht="12.75" customHeight="1">
      <c r="N566" s="24"/>
    </row>
    <row r="567" spans="14:14" ht="12.75" customHeight="1">
      <c r="N567" s="24"/>
    </row>
    <row r="568" spans="14:14" ht="12.75" customHeight="1">
      <c r="N568" s="24"/>
    </row>
    <row r="569" spans="14:14" ht="12.75" customHeight="1">
      <c r="N569" s="24"/>
    </row>
    <row r="570" spans="14:14" ht="12.75" customHeight="1">
      <c r="N570" s="24"/>
    </row>
    <row r="571" spans="14:14" ht="12.75" customHeight="1">
      <c r="N571" s="24"/>
    </row>
    <row r="572" spans="14:14" ht="12.75" customHeight="1">
      <c r="N572" s="24"/>
    </row>
    <row r="573" spans="14:14" ht="12.75" customHeight="1">
      <c r="N573" s="24"/>
    </row>
    <row r="574" spans="14:14" ht="12.75" customHeight="1">
      <c r="N574" s="24"/>
    </row>
    <row r="575" spans="14:14" ht="12.75" customHeight="1">
      <c r="N575" s="24"/>
    </row>
    <row r="576" spans="14:14" ht="12.75" customHeight="1">
      <c r="N576" s="24"/>
    </row>
    <row r="577" spans="14:14" ht="12.75" customHeight="1">
      <c r="N577" s="24"/>
    </row>
    <row r="578" spans="14:14" ht="12.75" customHeight="1">
      <c r="N578" s="24"/>
    </row>
    <row r="579" spans="14:14" ht="12.75" customHeight="1">
      <c r="N579" s="24"/>
    </row>
    <row r="580" spans="14:14" ht="12.75" customHeight="1">
      <c r="N580" s="24"/>
    </row>
    <row r="581" spans="14:14" ht="12.75" customHeight="1">
      <c r="N581" s="24"/>
    </row>
    <row r="582" spans="14:14" ht="12.75" customHeight="1">
      <c r="N582" s="24"/>
    </row>
    <row r="583" spans="14:14" ht="12.75" customHeight="1">
      <c r="N583" s="24"/>
    </row>
    <row r="584" spans="14:14" ht="12.75" customHeight="1">
      <c r="N584" s="24"/>
    </row>
    <row r="585" spans="14:14" ht="12.75" customHeight="1">
      <c r="N585" s="24"/>
    </row>
    <row r="586" spans="14:14" ht="12.75" customHeight="1">
      <c r="N586" s="24"/>
    </row>
    <row r="587" spans="14:14" ht="12.75" customHeight="1">
      <c r="N587" s="24"/>
    </row>
    <row r="588" spans="14:14" ht="12.75" customHeight="1">
      <c r="N588" s="24"/>
    </row>
    <row r="589" spans="14:14" ht="12.75" customHeight="1">
      <c r="N589" s="24"/>
    </row>
    <row r="590" spans="14:14" ht="12.75" customHeight="1">
      <c r="N590" s="24"/>
    </row>
    <row r="591" spans="14:14" ht="12.75" customHeight="1">
      <c r="N591" s="24"/>
    </row>
    <row r="592" spans="14:14" ht="12.75" customHeight="1">
      <c r="N592" s="24"/>
    </row>
    <row r="593" spans="14:14" ht="12.75" customHeight="1">
      <c r="N593" s="24"/>
    </row>
    <row r="594" spans="14:14" ht="12.75" customHeight="1">
      <c r="N594" s="24"/>
    </row>
    <row r="595" spans="14:14" ht="12.75" customHeight="1">
      <c r="N595" s="24"/>
    </row>
    <row r="596" spans="14:14" ht="12.75" customHeight="1">
      <c r="N596" s="24"/>
    </row>
    <row r="597" spans="14:14" ht="12.75" customHeight="1">
      <c r="N597" s="24"/>
    </row>
    <row r="598" spans="14:14" ht="12.75" customHeight="1">
      <c r="N598" s="24"/>
    </row>
    <row r="599" spans="14:14" ht="12.75" customHeight="1">
      <c r="N599" s="24"/>
    </row>
    <row r="600" spans="14:14" ht="12.75" customHeight="1">
      <c r="N600" s="24"/>
    </row>
    <row r="601" spans="14:14" ht="12.75" customHeight="1">
      <c r="N601" s="24"/>
    </row>
    <row r="602" spans="14:14" ht="12.75" customHeight="1">
      <c r="N602" s="24"/>
    </row>
    <row r="603" spans="14:14" ht="12.75" customHeight="1">
      <c r="N603" s="24"/>
    </row>
    <row r="604" spans="14:14" ht="12.75" customHeight="1">
      <c r="N604" s="24"/>
    </row>
    <row r="605" spans="14:14" ht="12.75" customHeight="1">
      <c r="N605" s="24"/>
    </row>
    <row r="606" spans="14:14" ht="12.75" customHeight="1">
      <c r="N606" s="24"/>
    </row>
    <row r="607" spans="14:14" ht="12.75" customHeight="1">
      <c r="N607" s="24"/>
    </row>
    <row r="608" spans="14:14" ht="12.75" customHeight="1">
      <c r="N608" s="24"/>
    </row>
    <row r="609" spans="14:14" ht="12.75" customHeight="1">
      <c r="N609" s="24"/>
    </row>
    <row r="610" spans="14:14" ht="12.75" customHeight="1">
      <c r="N610" s="24"/>
    </row>
    <row r="611" spans="14:14" ht="12.75" customHeight="1">
      <c r="N611" s="24"/>
    </row>
    <row r="612" spans="14:14" ht="12.75" customHeight="1">
      <c r="N612" s="24"/>
    </row>
    <row r="613" spans="14:14" ht="12.75" customHeight="1">
      <c r="N613" s="24"/>
    </row>
    <row r="614" spans="14:14" ht="12.75" customHeight="1">
      <c r="N614" s="24"/>
    </row>
    <row r="615" spans="14:14" ht="12.75" customHeight="1">
      <c r="N615" s="24"/>
    </row>
    <row r="616" spans="14:14" ht="12.75" customHeight="1">
      <c r="N616" s="24"/>
    </row>
    <row r="617" spans="14:14" ht="12.75" customHeight="1">
      <c r="N617" s="24"/>
    </row>
    <row r="618" spans="14:14" ht="12.75" customHeight="1">
      <c r="N618" s="24"/>
    </row>
    <row r="619" spans="14:14" ht="12.75" customHeight="1">
      <c r="N619" s="24"/>
    </row>
    <row r="620" spans="14:14" ht="12.75" customHeight="1">
      <c r="N620" s="24"/>
    </row>
    <row r="621" spans="14:14" ht="12.75" customHeight="1">
      <c r="N621" s="24"/>
    </row>
    <row r="622" spans="14:14" ht="12.75" customHeight="1">
      <c r="N622" s="24"/>
    </row>
    <row r="623" spans="14:14" ht="12.75" customHeight="1">
      <c r="N623" s="24"/>
    </row>
    <row r="624" spans="14:14" ht="12.75" customHeight="1">
      <c r="N624" s="24"/>
    </row>
    <row r="625" spans="14:14" ht="12.75" customHeight="1">
      <c r="N625" s="24"/>
    </row>
    <row r="626" spans="14:14" ht="12.75" customHeight="1">
      <c r="N626" s="24"/>
    </row>
    <row r="627" spans="14:14" ht="12.75" customHeight="1">
      <c r="N627" s="24"/>
    </row>
    <row r="628" spans="14:14" ht="12.75" customHeight="1">
      <c r="N628" s="24"/>
    </row>
    <row r="629" spans="14:14" ht="12.75" customHeight="1">
      <c r="N629" s="24"/>
    </row>
    <row r="630" spans="14:14" ht="12.75" customHeight="1">
      <c r="N630" s="24"/>
    </row>
    <row r="631" spans="14:14" ht="12.75" customHeight="1">
      <c r="N631" s="24"/>
    </row>
    <row r="632" spans="14:14" ht="12.75" customHeight="1">
      <c r="N632" s="24"/>
    </row>
    <row r="633" spans="14:14" ht="12.75" customHeight="1">
      <c r="N633" s="24"/>
    </row>
    <row r="634" spans="14:14" ht="12.75" customHeight="1">
      <c r="N634" s="24"/>
    </row>
    <row r="635" spans="14:14" ht="12.75" customHeight="1">
      <c r="N635" s="24"/>
    </row>
    <row r="636" spans="14:14" ht="12.75" customHeight="1">
      <c r="N636" s="24"/>
    </row>
    <row r="637" spans="14:14" ht="12.75" customHeight="1">
      <c r="N637" s="24"/>
    </row>
    <row r="638" spans="14:14" ht="12.75" customHeight="1">
      <c r="N638" s="24"/>
    </row>
    <row r="639" spans="14:14" ht="12.75" customHeight="1">
      <c r="N639" s="24"/>
    </row>
    <row r="640" spans="14:14" ht="12.75" customHeight="1">
      <c r="N640" s="24"/>
    </row>
    <row r="641" spans="14:14" ht="12.75" customHeight="1">
      <c r="N641" s="24"/>
    </row>
    <row r="642" spans="14:14" ht="12.75" customHeight="1">
      <c r="N642" s="24"/>
    </row>
    <row r="643" spans="14:14" ht="12.75" customHeight="1">
      <c r="N643" s="24"/>
    </row>
    <row r="644" spans="14:14" ht="12.75" customHeight="1">
      <c r="N644" s="24"/>
    </row>
    <row r="645" spans="14:14" ht="12.75" customHeight="1">
      <c r="N645" s="24"/>
    </row>
    <row r="646" spans="14:14" ht="12.75" customHeight="1">
      <c r="N646" s="24"/>
    </row>
    <row r="647" spans="14:14" ht="12.75" customHeight="1">
      <c r="N647" s="24"/>
    </row>
    <row r="648" spans="14:14" ht="12.75" customHeight="1">
      <c r="N648" s="24"/>
    </row>
    <row r="649" spans="14:14" ht="12.75" customHeight="1">
      <c r="N649" s="24"/>
    </row>
    <row r="650" spans="14:14" ht="12.75" customHeight="1">
      <c r="N650" s="24"/>
    </row>
    <row r="651" spans="14:14" ht="12.75" customHeight="1">
      <c r="N651" s="24"/>
    </row>
    <row r="652" spans="14:14" ht="12.75" customHeight="1">
      <c r="N652" s="24"/>
    </row>
    <row r="653" spans="14:14" ht="12.75" customHeight="1">
      <c r="N653" s="24"/>
    </row>
    <row r="654" spans="14:14" ht="12.75" customHeight="1">
      <c r="N654" s="24"/>
    </row>
    <row r="655" spans="14:14" ht="12.75" customHeight="1">
      <c r="N655" s="24"/>
    </row>
    <row r="656" spans="14:14" ht="12.75" customHeight="1">
      <c r="N656" s="24"/>
    </row>
    <row r="657" spans="14:14" ht="12.75" customHeight="1">
      <c r="N657" s="24"/>
    </row>
    <row r="658" spans="14:14" ht="12.75" customHeight="1">
      <c r="N658" s="24"/>
    </row>
    <row r="659" spans="14:14" ht="12.75" customHeight="1">
      <c r="N659" s="24"/>
    </row>
    <row r="660" spans="14:14" ht="12.75" customHeight="1">
      <c r="N660" s="24"/>
    </row>
    <row r="661" spans="14:14" ht="12.75" customHeight="1">
      <c r="N661" s="24"/>
    </row>
    <row r="662" spans="14:14" ht="12.75" customHeight="1">
      <c r="N662" s="24"/>
    </row>
    <row r="663" spans="14:14" ht="12.75" customHeight="1">
      <c r="N663" s="24"/>
    </row>
    <row r="664" spans="14:14" ht="12.75" customHeight="1">
      <c r="N664" s="24"/>
    </row>
    <row r="665" spans="14:14" ht="12.75" customHeight="1">
      <c r="N665" s="24"/>
    </row>
    <row r="666" spans="14:14" ht="12.75" customHeight="1">
      <c r="N666" s="24"/>
    </row>
    <row r="667" spans="14:14" ht="12.75" customHeight="1">
      <c r="N667" s="24"/>
    </row>
    <row r="668" spans="14:14" ht="12.75" customHeight="1">
      <c r="N668" s="24"/>
    </row>
    <row r="669" spans="14:14" ht="12.75" customHeight="1">
      <c r="N669" s="24"/>
    </row>
    <row r="670" spans="14:14" ht="12.75" customHeight="1">
      <c r="N670" s="24"/>
    </row>
    <row r="671" spans="14:14" ht="12.75" customHeight="1">
      <c r="N671" s="24"/>
    </row>
    <row r="672" spans="14:14" ht="12.75" customHeight="1">
      <c r="N672" s="24"/>
    </row>
    <row r="673" spans="14:14" ht="12.75" customHeight="1">
      <c r="N673" s="24"/>
    </row>
    <row r="674" spans="14:14" ht="12.75" customHeight="1">
      <c r="N674" s="24"/>
    </row>
    <row r="675" spans="14:14" ht="12.75" customHeight="1">
      <c r="N675" s="24"/>
    </row>
    <row r="676" spans="14:14" ht="12.75" customHeight="1">
      <c r="N676" s="24"/>
    </row>
    <row r="677" spans="14:14" ht="12.75" customHeight="1">
      <c r="N677" s="24"/>
    </row>
    <row r="678" spans="14:14" ht="12.75" customHeight="1">
      <c r="N678" s="24"/>
    </row>
    <row r="679" spans="14:14" ht="12.75" customHeight="1">
      <c r="N679" s="24"/>
    </row>
    <row r="680" spans="14:14" ht="12.75" customHeight="1">
      <c r="N680" s="24"/>
    </row>
    <row r="681" spans="14:14" ht="12.75" customHeight="1">
      <c r="N681" s="24"/>
    </row>
    <row r="682" spans="14:14" ht="12.75" customHeight="1">
      <c r="N682" s="24"/>
    </row>
    <row r="683" spans="14:14" ht="12.75" customHeight="1">
      <c r="N683" s="24"/>
    </row>
    <row r="684" spans="14:14" ht="12.75" customHeight="1">
      <c r="N684" s="24"/>
    </row>
    <row r="685" spans="14:14" ht="12.75" customHeight="1">
      <c r="N685" s="24"/>
    </row>
    <row r="686" spans="14:14" ht="12.75" customHeight="1">
      <c r="N686" s="24"/>
    </row>
    <row r="687" spans="14:14" ht="12.75" customHeight="1">
      <c r="N687" s="24"/>
    </row>
    <row r="688" spans="14:14" ht="12.75" customHeight="1">
      <c r="N688" s="24"/>
    </row>
    <row r="689" spans="14:14" ht="12.75" customHeight="1">
      <c r="N689" s="24"/>
    </row>
    <row r="690" spans="14:14" ht="12.75" customHeight="1">
      <c r="N690" s="24"/>
    </row>
    <row r="691" spans="14:14" ht="12.75" customHeight="1">
      <c r="N691" s="24"/>
    </row>
    <row r="692" spans="14:14" ht="12.75" customHeight="1">
      <c r="N692" s="24"/>
    </row>
    <row r="693" spans="14:14" ht="12.75" customHeight="1">
      <c r="N693" s="24"/>
    </row>
    <row r="694" spans="14:14" ht="12.75" customHeight="1">
      <c r="N694" s="24"/>
    </row>
    <row r="695" spans="14:14" ht="12.75" customHeight="1">
      <c r="N695" s="24"/>
    </row>
    <row r="696" spans="14:14" ht="12.75" customHeight="1">
      <c r="N696" s="24"/>
    </row>
    <row r="697" spans="14:14" ht="12.75" customHeight="1">
      <c r="N697" s="24"/>
    </row>
    <row r="698" spans="14:14" ht="12.75" customHeight="1">
      <c r="N698" s="24"/>
    </row>
    <row r="699" spans="14:14" ht="12.75" customHeight="1">
      <c r="N699" s="24"/>
    </row>
    <row r="700" spans="14:14" ht="12.75" customHeight="1">
      <c r="N700" s="24"/>
    </row>
    <row r="701" spans="14:14" ht="12.75" customHeight="1">
      <c r="N701" s="24"/>
    </row>
    <row r="702" spans="14:14" ht="12.75" customHeight="1">
      <c r="N702" s="24"/>
    </row>
    <row r="703" spans="14:14" ht="12.75" customHeight="1">
      <c r="N703" s="24"/>
    </row>
    <row r="704" spans="14:14" ht="12.75" customHeight="1">
      <c r="N704" s="24"/>
    </row>
    <row r="705" spans="14:14" ht="12.75" customHeight="1">
      <c r="N705" s="24"/>
    </row>
    <row r="706" spans="14:14" ht="12.75" customHeight="1">
      <c r="N706" s="24"/>
    </row>
    <row r="707" spans="14:14" ht="12.75" customHeight="1">
      <c r="N707" s="24"/>
    </row>
    <row r="708" spans="14:14" ht="12.75" customHeight="1">
      <c r="N708" s="24"/>
    </row>
    <row r="709" spans="14:14" ht="12.75" customHeight="1">
      <c r="N709" s="24"/>
    </row>
    <row r="710" spans="14:14" ht="12.75" customHeight="1">
      <c r="N710" s="24"/>
    </row>
    <row r="711" spans="14:14" ht="12.75" customHeight="1">
      <c r="N711" s="24"/>
    </row>
    <row r="712" spans="14:14" ht="12.75" customHeight="1">
      <c r="N712" s="24"/>
    </row>
    <row r="713" spans="14:14" ht="12.75" customHeight="1">
      <c r="N713" s="24"/>
    </row>
    <row r="714" spans="14:14" ht="12.75" customHeight="1">
      <c r="N714" s="24"/>
    </row>
    <row r="715" spans="14:14" ht="12.75" customHeight="1">
      <c r="N715" s="24"/>
    </row>
    <row r="716" spans="14:14" ht="12.75" customHeight="1">
      <c r="N716" s="24"/>
    </row>
    <row r="717" spans="14:14" ht="12.75" customHeight="1">
      <c r="N717" s="24"/>
    </row>
    <row r="718" spans="14:14" ht="12.75" customHeight="1">
      <c r="N718" s="24"/>
    </row>
    <row r="719" spans="14:14" ht="12.75" customHeight="1">
      <c r="N719" s="24"/>
    </row>
    <row r="720" spans="14:14" ht="12.75" customHeight="1">
      <c r="N720" s="24"/>
    </row>
    <row r="721" spans="14:14" ht="12.75" customHeight="1">
      <c r="N721" s="24"/>
    </row>
    <row r="722" spans="14:14" ht="12.75" customHeight="1">
      <c r="N722" s="24"/>
    </row>
    <row r="723" spans="14:14" ht="12.75" customHeight="1">
      <c r="N723" s="24"/>
    </row>
    <row r="724" spans="14:14" ht="12.75" customHeight="1">
      <c r="N724" s="24"/>
    </row>
    <row r="725" spans="14:14" ht="12.75" customHeight="1">
      <c r="N725" s="24"/>
    </row>
    <row r="726" spans="14:14" ht="12.75" customHeight="1">
      <c r="N726" s="24"/>
    </row>
    <row r="727" spans="14:14" ht="12.75" customHeight="1">
      <c r="N727" s="24"/>
    </row>
    <row r="728" spans="14:14" ht="12.75" customHeight="1">
      <c r="N728" s="24"/>
    </row>
    <row r="729" spans="14:14" ht="12.75" customHeight="1">
      <c r="N729" s="24"/>
    </row>
    <row r="730" spans="14:14" ht="12.75" customHeight="1">
      <c r="N730" s="24"/>
    </row>
    <row r="731" spans="14:14" ht="12.75" customHeight="1">
      <c r="N731" s="24"/>
    </row>
    <row r="732" spans="14:14" ht="12.75" customHeight="1">
      <c r="N732" s="24"/>
    </row>
    <row r="733" spans="14:14" ht="12.75" customHeight="1">
      <c r="N733" s="24"/>
    </row>
    <row r="734" spans="14:14" ht="12.75" customHeight="1">
      <c r="N734" s="24"/>
    </row>
    <row r="735" spans="14:14" ht="12.75" customHeight="1">
      <c r="N735" s="24"/>
    </row>
    <row r="736" spans="14:14" ht="12.75" customHeight="1">
      <c r="N736" s="24"/>
    </row>
    <row r="737" spans="14:14" ht="12.75" customHeight="1">
      <c r="N737" s="24"/>
    </row>
    <row r="738" spans="14:14" ht="12.75" customHeight="1">
      <c r="N738" s="24"/>
    </row>
    <row r="739" spans="14:14" ht="12.75" customHeight="1">
      <c r="N739" s="24"/>
    </row>
    <row r="740" spans="14:14" ht="12.75" customHeight="1">
      <c r="N740" s="24"/>
    </row>
    <row r="741" spans="14:14" ht="12.75" customHeight="1">
      <c r="N741" s="24"/>
    </row>
    <row r="742" spans="14:14" ht="12.75" customHeight="1">
      <c r="N742" s="24"/>
    </row>
    <row r="743" spans="14:14" ht="12.75" customHeight="1">
      <c r="N743" s="24"/>
    </row>
    <row r="744" spans="14:14" ht="12.75" customHeight="1">
      <c r="N744" s="24"/>
    </row>
    <row r="745" spans="14:14" ht="12.75" customHeight="1">
      <c r="N745" s="24"/>
    </row>
    <row r="746" spans="14:14" ht="12.75" customHeight="1">
      <c r="N746" s="24"/>
    </row>
    <row r="747" spans="14:14" ht="12.75" customHeight="1">
      <c r="N747" s="24"/>
    </row>
    <row r="748" spans="14:14" ht="12.75" customHeight="1">
      <c r="N748" s="24"/>
    </row>
    <row r="749" spans="14:14" ht="12.75" customHeight="1">
      <c r="N749" s="24"/>
    </row>
    <row r="750" spans="14:14" ht="12.75" customHeight="1">
      <c r="N750" s="24"/>
    </row>
    <row r="751" spans="14:14" ht="12.75" customHeight="1">
      <c r="N751" s="24"/>
    </row>
    <row r="752" spans="14:14" ht="12.75" customHeight="1">
      <c r="N752" s="24"/>
    </row>
    <row r="753" spans="14:14" ht="12.75" customHeight="1">
      <c r="N753" s="24"/>
    </row>
    <row r="754" spans="14:14" ht="12.75" customHeight="1">
      <c r="N754" s="24"/>
    </row>
    <row r="755" spans="14:14" ht="12.75" customHeight="1">
      <c r="N755" s="24"/>
    </row>
    <row r="756" spans="14:14" ht="12.75" customHeight="1">
      <c r="N756" s="24"/>
    </row>
    <row r="757" spans="14:14" ht="12.75" customHeight="1">
      <c r="N757" s="24"/>
    </row>
    <row r="758" spans="14:14" ht="12.75" customHeight="1">
      <c r="N758" s="24"/>
    </row>
    <row r="759" spans="14:14" ht="12.75" customHeight="1">
      <c r="N759" s="24"/>
    </row>
    <row r="760" spans="14:14" ht="12.75" customHeight="1">
      <c r="N760" s="24"/>
    </row>
    <row r="761" spans="14:14" ht="12.75" customHeight="1">
      <c r="N761" s="24"/>
    </row>
    <row r="762" spans="14:14" ht="12.75" customHeight="1">
      <c r="N762" s="24"/>
    </row>
    <row r="763" spans="14:14" ht="12.75" customHeight="1">
      <c r="N763" s="24"/>
    </row>
    <row r="764" spans="14:14" ht="12.75" customHeight="1">
      <c r="N764" s="24"/>
    </row>
    <row r="765" spans="14:14" ht="12.75" customHeight="1">
      <c r="N765" s="24"/>
    </row>
    <row r="766" spans="14:14" ht="12.75" customHeight="1">
      <c r="N766" s="24"/>
    </row>
    <row r="767" spans="14:14" ht="12.75" customHeight="1">
      <c r="N767" s="24"/>
    </row>
    <row r="768" spans="14:14" ht="12.75" customHeight="1">
      <c r="N768" s="24"/>
    </row>
    <row r="769" spans="14:14" ht="12.75" customHeight="1">
      <c r="N769" s="24"/>
    </row>
    <row r="770" spans="14:14" ht="12.75" customHeight="1">
      <c r="N770" s="24"/>
    </row>
    <row r="771" spans="14:14" ht="12.75" customHeight="1">
      <c r="N771" s="24"/>
    </row>
    <row r="772" spans="14:14" ht="12.75" customHeight="1">
      <c r="N772" s="24"/>
    </row>
    <row r="773" spans="14:14" ht="12.75" customHeight="1">
      <c r="N773" s="24"/>
    </row>
    <row r="774" spans="14:14" ht="12.75" customHeight="1">
      <c r="N774" s="24"/>
    </row>
    <row r="775" spans="14:14" ht="12.75" customHeight="1">
      <c r="N775" s="24"/>
    </row>
    <row r="776" spans="14:14" ht="12.75" customHeight="1">
      <c r="N776" s="24"/>
    </row>
    <row r="777" spans="14:14" ht="12.75" customHeight="1">
      <c r="N777" s="24"/>
    </row>
    <row r="778" spans="14:14" ht="12.75" customHeight="1">
      <c r="N778" s="24"/>
    </row>
    <row r="779" spans="14:14" ht="12.75" customHeight="1">
      <c r="N779" s="24"/>
    </row>
    <row r="780" spans="14:14" ht="12.75" customHeight="1">
      <c r="N780" s="24"/>
    </row>
    <row r="781" spans="14:14" ht="12.75" customHeight="1">
      <c r="N781" s="24"/>
    </row>
    <row r="782" spans="14:14" ht="12.75" customHeight="1">
      <c r="N782" s="24"/>
    </row>
    <row r="783" spans="14:14" ht="12.75" customHeight="1">
      <c r="N783" s="24"/>
    </row>
    <row r="784" spans="14:14" ht="12.75" customHeight="1">
      <c r="N784" s="24"/>
    </row>
    <row r="785" spans="14:14" ht="12.75" customHeight="1">
      <c r="N785" s="24"/>
    </row>
    <row r="786" spans="14:14" ht="12.75" customHeight="1">
      <c r="N786" s="24"/>
    </row>
    <row r="787" spans="14:14" ht="12.75" customHeight="1">
      <c r="N787" s="24"/>
    </row>
    <row r="788" spans="14:14" ht="12.75" customHeight="1">
      <c r="N788" s="24"/>
    </row>
    <row r="789" spans="14:14" ht="12.75" customHeight="1">
      <c r="N789" s="24"/>
    </row>
    <row r="790" spans="14:14" ht="12.75" customHeight="1">
      <c r="N790" s="24"/>
    </row>
    <row r="791" spans="14:14" ht="12.75" customHeight="1">
      <c r="N791" s="24"/>
    </row>
    <row r="792" spans="14:14" ht="12.75" customHeight="1">
      <c r="N792" s="24"/>
    </row>
    <row r="793" spans="14:14" ht="12.75" customHeight="1">
      <c r="N793" s="24"/>
    </row>
    <row r="794" spans="14:14" ht="12.75" customHeight="1">
      <c r="N794" s="24"/>
    </row>
    <row r="795" spans="14:14" ht="12.75" customHeight="1">
      <c r="N795" s="24"/>
    </row>
    <row r="796" spans="14:14" ht="12.75" customHeight="1">
      <c r="N796" s="24"/>
    </row>
    <row r="797" spans="14:14" ht="12.75" customHeight="1">
      <c r="N797" s="24"/>
    </row>
    <row r="798" spans="14:14" ht="12.75" customHeight="1">
      <c r="N798" s="24"/>
    </row>
    <row r="799" spans="14:14" ht="12.75" customHeight="1">
      <c r="N799" s="24"/>
    </row>
    <row r="800" spans="14:14" ht="12.75" customHeight="1">
      <c r="N800" s="24"/>
    </row>
    <row r="801" spans="14:14" ht="12.75" customHeight="1">
      <c r="N801" s="24"/>
    </row>
    <row r="802" spans="14:14" ht="12.75" customHeight="1">
      <c r="N802" s="24"/>
    </row>
    <row r="803" spans="14:14" ht="12.75" customHeight="1">
      <c r="N803" s="24"/>
    </row>
    <row r="804" spans="14:14" ht="12.75" customHeight="1">
      <c r="N804" s="24"/>
    </row>
    <row r="805" spans="14:14" ht="12.75" customHeight="1">
      <c r="N805" s="24"/>
    </row>
    <row r="806" spans="14:14" ht="12.75" customHeight="1">
      <c r="N806" s="24"/>
    </row>
    <row r="807" spans="14:14" ht="12.75" customHeight="1">
      <c r="N807" s="24"/>
    </row>
    <row r="808" spans="14:14" ht="12.75" customHeight="1">
      <c r="N808" s="24"/>
    </row>
    <row r="809" spans="14:14" ht="12.75" customHeight="1">
      <c r="N809" s="24"/>
    </row>
    <row r="810" spans="14:14" ht="12.75" customHeight="1">
      <c r="N810" s="24"/>
    </row>
    <row r="811" spans="14:14" ht="12.75" customHeight="1">
      <c r="N811" s="24"/>
    </row>
    <row r="812" spans="14:14" ht="12.75" customHeight="1">
      <c r="N812" s="24"/>
    </row>
    <row r="813" spans="14:14" ht="12.75" customHeight="1">
      <c r="N813" s="24"/>
    </row>
    <row r="814" spans="14:14" ht="12.75" customHeight="1">
      <c r="N814" s="24"/>
    </row>
    <row r="815" spans="14:14" ht="12.75" customHeight="1">
      <c r="N815" s="24"/>
    </row>
    <row r="816" spans="14:14" ht="12.75" customHeight="1">
      <c r="N816" s="24"/>
    </row>
    <row r="817" spans="14:14" ht="12.75" customHeight="1">
      <c r="N817" s="24"/>
    </row>
    <row r="818" spans="14:14" ht="12.75" customHeight="1">
      <c r="N818" s="24"/>
    </row>
    <row r="819" spans="14:14" ht="12.75" customHeight="1">
      <c r="N819" s="24"/>
    </row>
    <row r="820" spans="14:14" ht="12.75" customHeight="1">
      <c r="N820" s="24"/>
    </row>
    <row r="821" spans="14:14" ht="12.75" customHeight="1">
      <c r="N821" s="24"/>
    </row>
    <row r="822" spans="14:14" ht="12.75" customHeight="1">
      <c r="N822" s="24"/>
    </row>
    <row r="823" spans="14:14" ht="12.75" customHeight="1">
      <c r="N823" s="24"/>
    </row>
    <row r="824" spans="14:14" ht="12.75" customHeight="1">
      <c r="N824" s="24"/>
    </row>
  </sheetData>
  <mergeCells count="35">
    <mergeCell ref="A1:F5"/>
    <mergeCell ref="G2:T5"/>
    <mergeCell ref="A6:AE6"/>
    <mergeCell ref="E7:I7"/>
    <mergeCell ref="J7:V7"/>
    <mergeCell ref="W7:AE7"/>
    <mergeCell ref="A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Z8:Z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AA8:AA9"/>
    <mergeCell ref="AB8:AB9"/>
    <mergeCell ref="AC8:AC9"/>
    <mergeCell ref="AD8:AD9"/>
    <mergeCell ref="AE8:AE9"/>
  </mergeCells>
  <hyperlinks>
    <hyperlink ref="A8" r:id="rId1" display="http://www.rateksib.ru/"/>
  </hyperlinks>
  <pageMargins left="0.98425196850393704" right="0.78740157480314965" top="0.82677165354330717" bottom="0.98425196850393704" header="0.51181102362204722" footer="0.51181102362204722"/>
  <pageSetup paperSize="9" scale="47" fitToHeight="0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/>
  <dimension ref="B2:O42"/>
  <sheetViews>
    <sheetView showGridLines="0" workbookViewId="0"/>
  </sheetViews>
  <sheetFormatPr defaultRowHeight="14.5"/>
  <cols>
    <col min="1" max="1" width="4.08984375" style="526" customWidth="1"/>
    <col min="2" max="2" width="13" style="526" customWidth="1"/>
    <col min="3" max="3" width="19.1796875" style="526" customWidth="1"/>
    <col min="4" max="5" width="8.453125" style="526" customWidth="1"/>
    <col min="6" max="6" width="14.453125" style="526" customWidth="1"/>
    <col min="7" max="7" width="17.26953125" style="526" customWidth="1"/>
    <col min="8" max="8" width="11.26953125" style="526" customWidth="1"/>
    <col min="9" max="9" width="9.81640625" style="526" customWidth="1"/>
    <col min="10" max="10" width="5.6328125" style="526" customWidth="1"/>
    <col min="11" max="11" width="10.7265625" style="526" customWidth="1"/>
    <col min="12" max="12" width="8.7265625" style="526"/>
    <col min="13" max="13" width="16.1796875" style="526" customWidth="1"/>
    <col min="14" max="14" width="8.7265625" style="526"/>
    <col min="15" max="15" width="8.7265625" style="526" customWidth="1"/>
    <col min="16" max="256" width="8.7265625" style="526"/>
    <col min="257" max="257" width="4.08984375" style="526" customWidth="1"/>
    <col min="258" max="258" width="13" style="526" customWidth="1"/>
    <col min="259" max="259" width="19.1796875" style="526" customWidth="1"/>
    <col min="260" max="261" width="8.453125" style="526" customWidth="1"/>
    <col min="262" max="262" width="14.453125" style="526" customWidth="1"/>
    <col min="263" max="263" width="17.26953125" style="526" customWidth="1"/>
    <col min="264" max="264" width="11.26953125" style="526" customWidth="1"/>
    <col min="265" max="265" width="9.81640625" style="526" customWidth="1"/>
    <col min="266" max="266" width="5.6328125" style="526" customWidth="1"/>
    <col min="267" max="267" width="10.7265625" style="526" customWidth="1"/>
    <col min="268" max="268" width="8.7265625" style="526"/>
    <col min="269" max="269" width="16.1796875" style="526" customWidth="1"/>
    <col min="270" max="270" width="8.7265625" style="526"/>
    <col min="271" max="271" width="8.7265625" style="526" customWidth="1"/>
    <col min="272" max="512" width="8.7265625" style="526"/>
    <col min="513" max="513" width="4.08984375" style="526" customWidth="1"/>
    <col min="514" max="514" width="13" style="526" customWidth="1"/>
    <col min="515" max="515" width="19.1796875" style="526" customWidth="1"/>
    <col min="516" max="517" width="8.453125" style="526" customWidth="1"/>
    <col min="518" max="518" width="14.453125" style="526" customWidth="1"/>
    <col min="519" max="519" width="17.26953125" style="526" customWidth="1"/>
    <col min="520" max="520" width="11.26953125" style="526" customWidth="1"/>
    <col min="521" max="521" width="9.81640625" style="526" customWidth="1"/>
    <col min="522" max="522" width="5.6328125" style="526" customWidth="1"/>
    <col min="523" max="523" width="10.7265625" style="526" customWidth="1"/>
    <col min="524" max="524" width="8.7265625" style="526"/>
    <col min="525" max="525" width="16.1796875" style="526" customWidth="1"/>
    <col min="526" max="526" width="8.7265625" style="526"/>
    <col min="527" max="527" width="8.7265625" style="526" customWidth="1"/>
    <col min="528" max="768" width="8.7265625" style="526"/>
    <col min="769" max="769" width="4.08984375" style="526" customWidth="1"/>
    <col min="770" max="770" width="13" style="526" customWidth="1"/>
    <col min="771" max="771" width="19.1796875" style="526" customWidth="1"/>
    <col min="772" max="773" width="8.453125" style="526" customWidth="1"/>
    <col min="774" max="774" width="14.453125" style="526" customWidth="1"/>
    <col min="775" max="775" width="17.26953125" style="526" customWidth="1"/>
    <col min="776" max="776" width="11.26953125" style="526" customWidth="1"/>
    <col min="777" max="777" width="9.81640625" style="526" customWidth="1"/>
    <col min="778" max="778" width="5.6328125" style="526" customWidth="1"/>
    <col min="779" max="779" width="10.7265625" style="526" customWidth="1"/>
    <col min="780" max="780" width="8.7265625" style="526"/>
    <col min="781" max="781" width="16.1796875" style="526" customWidth="1"/>
    <col min="782" max="782" width="8.7265625" style="526"/>
    <col min="783" max="783" width="8.7265625" style="526" customWidth="1"/>
    <col min="784" max="1024" width="8.7265625" style="526"/>
    <col min="1025" max="1025" width="4.08984375" style="526" customWidth="1"/>
    <col min="1026" max="1026" width="13" style="526" customWidth="1"/>
    <col min="1027" max="1027" width="19.1796875" style="526" customWidth="1"/>
    <col min="1028" max="1029" width="8.453125" style="526" customWidth="1"/>
    <col min="1030" max="1030" width="14.453125" style="526" customWidth="1"/>
    <col min="1031" max="1031" width="17.26953125" style="526" customWidth="1"/>
    <col min="1032" max="1032" width="11.26953125" style="526" customWidth="1"/>
    <col min="1033" max="1033" width="9.81640625" style="526" customWidth="1"/>
    <col min="1034" max="1034" width="5.6328125" style="526" customWidth="1"/>
    <col min="1035" max="1035" width="10.7265625" style="526" customWidth="1"/>
    <col min="1036" max="1036" width="8.7265625" style="526"/>
    <col min="1037" max="1037" width="16.1796875" style="526" customWidth="1"/>
    <col min="1038" max="1038" width="8.7265625" style="526"/>
    <col min="1039" max="1039" width="8.7265625" style="526" customWidth="1"/>
    <col min="1040" max="1280" width="8.7265625" style="526"/>
    <col min="1281" max="1281" width="4.08984375" style="526" customWidth="1"/>
    <col min="1282" max="1282" width="13" style="526" customWidth="1"/>
    <col min="1283" max="1283" width="19.1796875" style="526" customWidth="1"/>
    <col min="1284" max="1285" width="8.453125" style="526" customWidth="1"/>
    <col min="1286" max="1286" width="14.453125" style="526" customWidth="1"/>
    <col min="1287" max="1287" width="17.26953125" style="526" customWidth="1"/>
    <col min="1288" max="1288" width="11.26953125" style="526" customWidth="1"/>
    <col min="1289" max="1289" width="9.81640625" style="526" customWidth="1"/>
    <col min="1290" max="1290" width="5.6328125" style="526" customWidth="1"/>
    <col min="1291" max="1291" width="10.7265625" style="526" customWidth="1"/>
    <col min="1292" max="1292" width="8.7265625" style="526"/>
    <col min="1293" max="1293" width="16.1796875" style="526" customWidth="1"/>
    <col min="1294" max="1294" width="8.7265625" style="526"/>
    <col min="1295" max="1295" width="8.7265625" style="526" customWidth="1"/>
    <col min="1296" max="1536" width="8.7265625" style="526"/>
    <col min="1537" max="1537" width="4.08984375" style="526" customWidth="1"/>
    <col min="1538" max="1538" width="13" style="526" customWidth="1"/>
    <col min="1539" max="1539" width="19.1796875" style="526" customWidth="1"/>
    <col min="1540" max="1541" width="8.453125" style="526" customWidth="1"/>
    <col min="1542" max="1542" width="14.453125" style="526" customWidth="1"/>
    <col min="1543" max="1543" width="17.26953125" style="526" customWidth="1"/>
    <col min="1544" max="1544" width="11.26953125" style="526" customWidth="1"/>
    <col min="1545" max="1545" width="9.81640625" style="526" customWidth="1"/>
    <col min="1546" max="1546" width="5.6328125" style="526" customWidth="1"/>
    <col min="1547" max="1547" width="10.7265625" style="526" customWidth="1"/>
    <col min="1548" max="1548" width="8.7265625" style="526"/>
    <col min="1549" max="1549" width="16.1796875" style="526" customWidth="1"/>
    <col min="1550" max="1550" width="8.7265625" style="526"/>
    <col min="1551" max="1551" width="8.7265625" style="526" customWidth="1"/>
    <col min="1552" max="1792" width="8.7265625" style="526"/>
    <col min="1793" max="1793" width="4.08984375" style="526" customWidth="1"/>
    <col min="1794" max="1794" width="13" style="526" customWidth="1"/>
    <col min="1795" max="1795" width="19.1796875" style="526" customWidth="1"/>
    <col min="1796" max="1797" width="8.453125" style="526" customWidth="1"/>
    <col min="1798" max="1798" width="14.453125" style="526" customWidth="1"/>
    <col min="1799" max="1799" width="17.26953125" style="526" customWidth="1"/>
    <col min="1800" max="1800" width="11.26953125" style="526" customWidth="1"/>
    <col min="1801" max="1801" width="9.81640625" style="526" customWidth="1"/>
    <col min="1802" max="1802" width="5.6328125" style="526" customWidth="1"/>
    <col min="1803" max="1803" width="10.7265625" style="526" customWidth="1"/>
    <col min="1804" max="1804" width="8.7265625" style="526"/>
    <col min="1805" max="1805" width="16.1796875" style="526" customWidth="1"/>
    <col min="1806" max="1806" width="8.7265625" style="526"/>
    <col min="1807" max="1807" width="8.7265625" style="526" customWidth="1"/>
    <col min="1808" max="2048" width="8.7265625" style="526"/>
    <col min="2049" max="2049" width="4.08984375" style="526" customWidth="1"/>
    <col min="2050" max="2050" width="13" style="526" customWidth="1"/>
    <col min="2051" max="2051" width="19.1796875" style="526" customWidth="1"/>
    <col min="2052" max="2053" width="8.453125" style="526" customWidth="1"/>
    <col min="2054" max="2054" width="14.453125" style="526" customWidth="1"/>
    <col min="2055" max="2055" width="17.26953125" style="526" customWidth="1"/>
    <col min="2056" max="2056" width="11.26953125" style="526" customWidth="1"/>
    <col min="2057" max="2057" width="9.81640625" style="526" customWidth="1"/>
    <col min="2058" max="2058" width="5.6328125" style="526" customWidth="1"/>
    <col min="2059" max="2059" width="10.7265625" style="526" customWidth="1"/>
    <col min="2060" max="2060" width="8.7265625" style="526"/>
    <col min="2061" max="2061" width="16.1796875" style="526" customWidth="1"/>
    <col min="2062" max="2062" width="8.7265625" style="526"/>
    <col min="2063" max="2063" width="8.7265625" style="526" customWidth="1"/>
    <col min="2064" max="2304" width="8.7265625" style="526"/>
    <col min="2305" max="2305" width="4.08984375" style="526" customWidth="1"/>
    <col min="2306" max="2306" width="13" style="526" customWidth="1"/>
    <col min="2307" max="2307" width="19.1796875" style="526" customWidth="1"/>
    <col min="2308" max="2309" width="8.453125" style="526" customWidth="1"/>
    <col min="2310" max="2310" width="14.453125" style="526" customWidth="1"/>
    <col min="2311" max="2311" width="17.26953125" style="526" customWidth="1"/>
    <col min="2312" max="2312" width="11.26953125" style="526" customWidth="1"/>
    <col min="2313" max="2313" width="9.81640625" style="526" customWidth="1"/>
    <col min="2314" max="2314" width="5.6328125" style="526" customWidth="1"/>
    <col min="2315" max="2315" width="10.7265625" style="526" customWidth="1"/>
    <col min="2316" max="2316" width="8.7265625" style="526"/>
    <col min="2317" max="2317" width="16.1796875" style="526" customWidth="1"/>
    <col min="2318" max="2318" width="8.7265625" style="526"/>
    <col min="2319" max="2319" width="8.7265625" style="526" customWidth="1"/>
    <col min="2320" max="2560" width="8.7265625" style="526"/>
    <col min="2561" max="2561" width="4.08984375" style="526" customWidth="1"/>
    <col min="2562" max="2562" width="13" style="526" customWidth="1"/>
    <col min="2563" max="2563" width="19.1796875" style="526" customWidth="1"/>
    <col min="2564" max="2565" width="8.453125" style="526" customWidth="1"/>
    <col min="2566" max="2566" width="14.453125" style="526" customWidth="1"/>
    <col min="2567" max="2567" width="17.26953125" style="526" customWidth="1"/>
    <col min="2568" max="2568" width="11.26953125" style="526" customWidth="1"/>
    <col min="2569" max="2569" width="9.81640625" style="526" customWidth="1"/>
    <col min="2570" max="2570" width="5.6328125" style="526" customWidth="1"/>
    <col min="2571" max="2571" width="10.7265625" style="526" customWidth="1"/>
    <col min="2572" max="2572" width="8.7265625" style="526"/>
    <col min="2573" max="2573" width="16.1796875" style="526" customWidth="1"/>
    <col min="2574" max="2574" width="8.7265625" style="526"/>
    <col min="2575" max="2575" width="8.7265625" style="526" customWidth="1"/>
    <col min="2576" max="2816" width="8.7265625" style="526"/>
    <col min="2817" max="2817" width="4.08984375" style="526" customWidth="1"/>
    <col min="2818" max="2818" width="13" style="526" customWidth="1"/>
    <col min="2819" max="2819" width="19.1796875" style="526" customWidth="1"/>
    <col min="2820" max="2821" width="8.453125" style="526" customWidth="1"/>
    <col min="2822" max="2822" width="14.453125" style="526" customWidth="1"/>
    <col min="2823" max="2823" width="17.26953125" style="526" customWidth="1"/>
    <col min="2824" max="2824" width="11.26953125" style="526" customWidth="1"/>
    <col min="2825" max="2825" width="9.81640625" style="526" customWidth="1"/>
    <col min="2826" max="2826" width="5.6328125" style="526" customWidth="1"/>
    <col min="2827" max="2827" width="10.7265625" style="526" customWidth="1"/>
    <col min="2828" max="2828" width="8.7265625" style="526"/>
    <col min="2829" max="2829" width="16.1796875" style="526" customWidth="1"/>
    <col min="2830" max="2830" width="8.7265625" style="526"/>
    <col min="2831" max="2831" width="8.7265625" style="526" customWidth="1"/>
    <col min="2832" max="3072" width="8.7265625" style="526"/>
    <col min="3073" max="3073" width="4.08984375" style="526" customWidth="1"/>
    <col min="3074" max="3074" width="13" style="526" customWidth="1"/>
    <col min="3075" max="3075" width="19.1796875" style="526" customWidth="1"/>
    <col min="3076" max="3077" width="8.453125" style="526" customWidth="1"/>
    <col min="3078" max="3078" width="14.453125" style="526" customWidth="1"/>
    <col min="3079" max="3079" width="17.26953125" style="526" customWidth="1"/>
    <col min="3080" max="3080" width="11.26953125" style="526" customWidth="1"/>
    <col min="3081" max="3081" width="9.81640625" style="526" customWidth="1"/>
    <col min="3082" max="3082" width="5.6328125" style="526" customWidth="1"/>
    <col min="3083" max="3083" width="10.7265625" style="526" customWidth="1"/>
    <col min="3084" max="3084" width="8.7265625" style="526"/>
    <col min="3085" max="3085" width="16.1796875" style="526" customWidth="1"/>
    <col min="3086" max="3086" width="8.7265625" style="526"/>
    <col min="3087" max="3087" width="8.7265625" style="526" customWidth="1"/>
    <col min="3088" max="3328" width="8.7265625" style="526"/>
    <col min="3329" max="3329" width="4.08984375" style="526" customWidth="1"/>
    <col min="3330" max="3330" width="13" style="526" customWidth="1"/>
    <col min="3331" max="3331" width="19.1796875" style="526" customWidth="1"/>
    <col min="3332" max="3333" width="8.453125" style="526" customWidth="1"/>
    <col min="3334" max="3334" width="14.453125" style="526" customWidth="1"/>
    <col min="3335" max="3335" width="17.26953125" style="526" customWidth="1"/>
    <col min="3336" max="3336" width="11.26953125" style="526" customWidth="1"/>
    <col min="3337" max="3337" width="9.81640625" style="526" customWidth="1"/>
    <col min="3338" max="3338" width="5.6328125" style="526" customWidth="1"/>
    <col min="3339" max="3339" width="10.7265625" style="526" customWidth="1"/>
    <col min="3340" max="3340" width="8.7265625" style="526"/>
    <col min="3341" max="3341" width="16.1796875" style="526" customWidth="1"/>
    <col min="3342" max="3342" width="8.7265625" style="526"/>
    <col min="3343" max="3343" width="8.7265625" style="526" customWidth="1"/>
    <col min="3344" max="3584" width="8.7265625" style="526"/>
    <col min="3585" max="3585" width="4.08984375" style="526" customWidth="1"/>
    <col min="3586" max="3586" width="13" style="526" customWidth="1"/>
    <col min="3587" max="3587" width="19.1796875" style="526" customWidth="1"/>
    <col min="3588" max="3589" width="8.453125" style="526" customWidth="1"/>
    <col min="3590" max="3590" width="14.453125" style="526" customWidth="1"/>
    <col min="3591" max="3591" width="17.26953125" style="526" customWidth="1"/>
    <col min="3592" max="3592" width="11.26953125" style="526" customWidth="1"/>
    <col min="3593" max="3593" width="9.81640625" style="526" customWidth="1"/>
    <col min="3594" max="3594" width="5.6328125" style="526" customWidth="1"/>
    <col min="3595" max="3595" width="10.7265625" style="526" customWidth="1"/>
    <col min="3596" max="3596" width="8.7265625" style="526"/>
    <col min="3597" max="3597" width="16.1796875" style="526" customWidth="1"/>
    <col min="3598" max="3598" width="8.7265625" style="526"/>
    <col min="3599" max="3599" width="8.7265625" style="526" customWidth="1"/>
    <col min="3600" max="3840" width="8.7265625" style="526"/>
    <col min="3841" max="3841" width="4.08984375" style="526" customWidth="1"/>
    <col min="3842" max="3842" width="13" style="526" customWidth="1"/>
    <col min="3843" max="3843" width="19.1796875" style="526" customWidth="1"/>
    <col min="3844" max="3845" width="8.453125" style="526" customWidth="1"/>
    <col min="3846" max="3846" width="14.453125" style="526" customWidth="1"/>
    <col min="3847" max="3847" width="17.26953125" style="526" customWidth="1"/>
    <col min="3848" max="3848" width="11.26953125" style="526" customWidth="1"/>
    <col min="3849" max="3849" width="9.81640625" style="526" customWidth="1"/>
    <col min="3850" max="3850" width="5.6328125" style="526" customWidth="1"/>
    <col min="3851" max="3851" width="10.7265625" style="526" customWidth="1"/>
    <col min="3852" max="3852" width="8.7265625" style="526"/>
    <col min="3853" max="3853" width="16.1796875" style="526" customWidth="1"/>
    <col min="3854" max="3854" width="8.7265625" style="526"/>
    <col min="3855" max="3855" width="8.7265625" style="526" customWidth="1"/>
    <col min="3856" max="4096" width="8.7265625" style="526"/>
    <col min="4097" max="4097" width="4.08984375" style="526" customWidth="1"/>
    <col min="4098" max="4098" width="13" style="526" customWidth="1"/>
    <col min="4099" max="4099" width="19.1796875" style="526" customWidth="1"/>
    <col min="4100" max="4101" width="8.453125" style="526" customWidth="1"/>
    <col min="4102" max="4102" width="14.453125" style="526" customWidth="1"/>
    <col min="4103" max="4103" width="17.26953125" style="526" customWidth="1"/>
    <col min="4104" max="4104" width="11.26953125" style="526" customWidth="1"/>
    <col min="4105" max="4105" width="9.81640625" style="526" customWidth="1"/>
    <col min="4106" max="4106" width="5.6328125" style="526" customWidth="1"/>
    <col min="4107" max="4107" width="10.7265625" style="526" customWidth="1"/>
    <col min="4108" max="4108" width="8.7265625" style="526"/>
    <col min="4109" max="4109" width="16.1796875" style="526" customWidth="1"/>
    <col min="4110" max="4110" width="8.7265625" style="526"/>
    <col min="4111" max="4111" width="8.7265625" style="526" customWidth="1"/>
    <col min="4112" max="4352" width="8.7265625" style="526"/>
    <col min="4353" max="4353" width="4.08984375" style="526" customWidth="1"/>
    <col min="4354" max="4354" width="13" style="526" customWidth="1"/>
    <col min="4355" max="4355" width="19.1796875" style="526" customWidth="1"/>
    <col min="4356" max="4357" width="8.453125" style="526" customWidth="1"/>
    <col min="4358" max="4358" width="14.453125" style="526" customWidth="1"/>
    <col min="4359" max="4359" width="17.26953125" style="526" customWidth="1"/>
    <col min="4360" max="4360" width="11.26953125" style="526" customWidth="1"/>
    <col min="4361" max="4361" width="9.81640625" style="526" customWidth="1"/>
    <col min="4362" max="4362" width="5.6328125" style="526" customWidth="1"/>
    <col min="4363" max="4363" width="10.7265625" style="526" customWidth="1"/>
    <col min="4364" max="4364" width="8.7265625" style="526"/>
    <col min="4365" max="4365" width="16.1796875" style="526" customWidth="1"/>
    <col min="4366" max="4366" width="8.7265625" style="526"/>
    <col min="4367" max="4367" width="8.7265625" style="526" customWidth="1"/>
    <col min="4368" max="4608" width="8.7265625" style="526"/>
    <col min="4609" max="4609" width="4.08984375" style="526" customWidth="1"/>
    <col min="4610" max="4610" width="13" style="526" customWidth="1"/>
    <col min="4611" max="4611" width="19.1796875" style="526" customWidth="1"/>
    <col min="4612" max="4613" width="8.453125" style="526" customWidth="1"/>
    <col min="4614" max="4614" width="14.453125" style="526" customWidth="1"/>
    <col min="4615" max="4615" width="17.26953125" style="526" customWidth="1"/>
    <col min="4616" max="4616" width="11.26953125" style="526" customWidth="1"/>
    <col min="4617" max="4617" width="9.81640625" style="526" customWidth="1"/>
    <col min="4618" max="4618" width="5.6328125" style="526" customWidth="1"/>
    <col min="4619" max="4619" width="10.7265625" style="526" customWidth="1"/>
    <col min="4620" max="4620" width="8.7265625" style="526"/>
    <col min="4621" max="4621" width="16.1796875" style="526" customWidth="1"/>
    <col min="4622" max="4622" width="8.7265625" style="526"/>
    <col min="4623" max="4623" width="8.7265625" style="526" customWidth="1"/>
    <col min="4624" max="4864" width="8.7265625" style="526"/>
    <col min="4865" max="4865" width="4.08984375" style="526" customWidth="1"/>
    <col min="4866" max="4866" width="13" style="526" customWidth="1"/>
    <col min="4867" max="4867" width="19.1796875" style="526" customWidth="1"/>
    <col min="4868" max="4869" width="8.453125" style="526" customWidth="1"/>
    <col min="4870" max="4870" width="14.453125" style="526" customWidth="1"/>
    <col min="4871" max="4871" width="17.26953125" style="526" customWidth="1"/>
    <col min="4872" max="4872" width="11.26953125" style="526" customWidth="1"/>
    <col min="4873" max="4873" width="9.81640625" style="526" customWidth="1"/>
    <col min="4874" max="4874" width="5.6328125" style="526" customWidth="1"/>
    <col min="4875" max="4875" width="10.7265625" style="526" customWidth="1"/>
    <col min="4876" max="4876" width="8.7265625" style="526"/>
    <col min="4877" max="4877" width="16.1796875" style="526" customWidth="1"/>
    <col min="4878" max="4878" width="8.7265625" style="526"/>
    <col min="4879" max="4879" width="8.7265625" style="526" customWidth="1"/>
    <col min="4880" max="5120" width="8.7265625" style="526"/>
    <col min="5121" max="5121" width="4.08984375" style="526" customWidth="1"/>
    <col min="5122" max="5122" width="13" style="526" customWidth="1"/>
    <col min="5123" max="5123" width="19.1796875" style="526" customWidth="1"/>
    <col min="5124" max="5125" width="8.453125" style="526" customWidth="1"/>
    <col min="5126" max="5126" width="14.453125" style="526" customWidth="1"/>
    <col min="5127" max="5127" width="17.26953125" style="526" customWidth="1"/>
    <col min="5128" max="5128" width="11.26953125" style="526" customWidth="1"/>
    <col min="5129" max="5129" width="9.81640625" style="526" customWidth="1"/>
    <col min="5130" max="5130" width="5.6328125" style="526" customWidth="1"/>
    <col min="5131" max="5131" width="10.7265625" style="526" customWidth="1"/>
    <col min="5132" max="5132" width="8.7265625" style="526"/>
    <col min="5133" max="5133" width="16.1796875" style="526" customWidth="1"/>
    <col min="5134" max="5134" width="8.7265625" style="526"/>
    <col min="5135" max="5135" width="8.7265625" style="526" customWidth="1"/>
    <col min="5136" max="5376" width="8.7265625" style="526"/>
    <col min="5377" max="5377" width="4.08984375" style="526" customWidth="1"/>
    <col min="5378" max="5378" width="13" style="526" customWidth="1"/>
    <col min="5379" max="5379" width="19.1796875" style="526" customWidth="1"/>
    <col min="5380" max="5381" width="8.453125" style="526" customWidth="1"/>
    <col min="5382" max="5382" width="14.453125" style="526" customWidth="1"/>
    <col min="5383" max="5383" width="17.26953125" style="526" customWidth="1"/>
    <col min="5384" max="5384" width="11.26953125" style="526" customWidth="1"/>
    <col min="5385" max="5385" width="9.81640625" style="526" customWidth="1"/>
    <col min="5386" max="5386" width="5.6328125" style="526" customWidth="1"/>
    <col min="5387" max="5387" width="10.7265625" style="526" customWidth="1"/>
    <col min="5388" max="5388" width="8.7265625" style="526"/>
    <col min="5389" max="5389" width="16.1796875" style="526" customWidth="1"/>
    <col min="5390" max="5390" width="8.7265625" style="526"/>
    <col min="5391" max="5391" width="8.7265625" style="526" customWidth="1"/>
    <col min="5392" max="5632" width="8.7265625" style="526"/>
    <col min="5633" max="5633" width="4.08984375" style="526" customWidth="1"/>
    <col min="5634" max="5634" width="13" style="526" customWidth="1"/>
    <col min="5635" max="5635" width="19.1796875" style="526" customWidth="1"/>
    <col min="5636" max="5637" width="8.453125" style="526" customWidth="1"/>
    <col min="5638" max="5638" width="14.453125" style="526" customWidth="1"/>
    <col min="5639" max="5639" width="17.26953125" style="526" customWidth="1"/>
    <col min="5640" max="5640" width="11.26953125" style="526" customWidth="1"/>
    <col min="5641" max="5641" width="9.81640625" style="526" customWidth="1"/>
    <col min="5642" max="5642" width="5.6328125" style="526" customWidth="1"/>
    <col min="5643" max="5643" width="10.7265625" style="526" customWidth="1"/>
    <col min="5644" max="5644" width="8.7265625" style="526"/>
    <col min="5645" max="5645" width="16.1796875" style="526" customWidth="1"/>
    <col min="5646" max="5646" width="8.7265625" style="526"/>
    <col min="5647" max="5647" width="8.7265625" style="526" customWidth="1"/>
    <col min="5648" max="5888" width="8.7265625" style="526"/>
    <col min="5889" max="5889" width="4.08984375" style="526" customWidth="1"/>
    <col min="5890" max="5890" width="13" style="526" customWidth="1"/>
    <col min="5891" max="5891" width="19.1796875" style="526" customWidth="1"/>
    <col min="5892" max="5893" width="8.453125" style="526" customWidth="1"/>
    <col min="5894" max="5894" width="14.453125" style="526" customWidth="1"/>
    <col min="5895" max="5895" width="17.26953125" style="526" customWidth="1"/>
    <col min="5896" max="5896" width="11.26953125" style="526" customWidth="1"/>
    <col min="5897" max="5897" width="9.81640625" style="526" customWidth="1"/>
    <col min="5898" max="5898" width="5.6328125" style="526" customWidth="1"/>
    <col min="5899" max="5899" width="10.7265625" style="526" customWidth="1"/>
    <col min="5900" max="5900" width="8.7265625" style="526"/>
    <col min="5901" max="5901" width="16.1796875" style="526" customWidth="1"/>
    <col min="5902" max="5902" width="8.7265625" style="526"/>
    <col min="5903" max="5903" width="8.7265625" style="526" customWidth="1"/>
    <col min="5904" max="6144" width="8.7265625" style="526"/>
    <col min="6145" max="6145" width="4.08984375" style="526" customWidth="1"/>
    <col min="6146" max="6146" width="13" style="526" customWidth="1"/>
    <col min="6147" max="6147" width="19.1796875" style="526" customWidth="1"/>
    <col min="6148" max="6149" width="8.453125" style="526" customWidth="1"/>
    <col min="6150" max="6150" width="14.453125" style="526" customWidth="1"/>
    <col min="6151" max="6151" width="17.26953125" style="526" customWidth="1"/>
    <col min="6152" max="6152" width="11.26953125" style="526" customWidth="1"/>
    <col min="6153" max="6153" width="9.81640625" style="526" customWidth="1"/>
    <col min="6154" max="6154" width="5.6328125" style="526" customWidth="1"/>
    <col min="6155" max="6155" width="10.7265625" style="526" customWidth="1"/>
    <col min="6156" max="6156" width="8.7265625" style="526"/>
    <col min="6157" max="6157" width="16.1796875" style="526" customWidth="1"/>
    <col min="6158" max="6158" width="8.7265625" style="526"/>
    <col min="6159" max="6159" width="8.7265625" style="526" customWidth="1"/>
    <col min="6160" max="6400" width="8.7265625" style="526"/>
    <col min="6401" max="6401" width="4.08984375" style="526" customWidth="1"/>
    <col min="6402" max="6402" width="13" style="526" customWidth="1"/>
    <col min="6403" max="6403" width="19.1796875" style="526" customWidth="1"/>
    <col min="6404" max="6405" width="8.453125" style="526" customWidth="1"/>
    <col min="6406" max="6406" width="14.453125" style="526" customWidth="1"/>
    <col min="6407" max="6407" width="17.26953125" style="526" customWidth="1"/>
    <col min="6408" max="6408" width="11.26953125" style="526" customWidth="1"/>
    <col min="6409" max="6409" width="9.81640625" style="526" customWidth="1"/>
    <col min="6410" max="6410" width="5.6328125" style="526" customWidth="1"/>
    <col min="6411" max="6411" width="10.7265625" style="526" customWidth="1"/>
    <col min="6412" max="6412" width="8.7265625" style="526"/>
    <col min="6413" max="6413" width="16.1796875" style="526" customWidth="1"/>
    <col min="6414" max="6414" width="8.7265625" style="526"/>
    <col min="6415" max="6415" width="8.7265625" style="526" customWidth="1"/>
    <col min="6416" max="6656" width="8.7265625" style="526"/>
    <col min="6657" max="6657" width="4.08984375" style="526" customWidth="1"/>
    <col min="6658" max="6658" width="13" style="526" customWidth="1"/>
    <col min="6659" max="6659" width="19.1796875" style="526" customWidth="1"/>
    <col min="6660" max="6661" width="8.453125" style="526" customWidth="1"/>
    <col min="6662" max="6662" width="14.453125" style="526" customWidth="1"/>
    <col min="6663" max="6663" width="17.26953125" style="526" customWidth="1"/>
    <col min="6664" max="6664" width="11.26953125" style="526" customWidth="1"/>
    <col min="6665" max="6665" width="9.81640625" style="526" customWidth="1"/>
    <col min="6666" max="6666" width="5.6328125" style="526" customWidth="1"/>
    <col min="6667" max="6667" width="10.7265625" style="526" customWidth="1"/>
    <col min="6668" max="6668" width="8.7265625" style="526"/>
    <col min="6669" max="6669" width="16.1796875" style="526" customWidth="1"/>
    <col min="6670" max="6670" width="8.7265625" style="526"/>
    <col min="6671" max="6671" width="8.7265625" style="526" customWidth="1"/>
    <col min="6672" max="6912" width="8.7265625" style="526"/>
    <col min="6913" max="6913" width="4.08984375" style="526" customWidth="1"/>
    <col min="6914" max="6914" width="13" style="526" customWidth="1"/>
    <col min="6915" max="6915" width="19.1796875" style="526" customWidth="1"/>
    <col min="6916" max="6917" width="8.453125" style="526" customWidth="1"/>
    <col min="6918" max="6918" width="14.453125" style="526" customWidth="1"/>
    <col min="6919" max="6919" width="17.26953125" style="526" customWidth="1"/>
    <col min="6920" max="6920" width="11.26953125" style="526" customWidth="1"/>
    <col min="6921" max="6921" width="9.81640625" style="526" customWidth="1"/>
    <col min="6922" max="6922" width="5.6328125" style="526" customWidth="1"/>
    <col min="6923" max="6923" width="10.7265625" style="526" customWidth="1"/>
    <col min="6924" max="6924" width="8.7265625" style="526"/>
    <col min="6925" max="6925" width="16.1796875" style="526" customWidth="1"/>
    <col min="6926" max="6926" width="8.7265625" style="526"/>
    <col min="6927" max="6927" width="8.7265625" style="526" customWidth="1"/>
    <col min="6928" max="7168" width="8.7265625" style="526"/>
    <col min="7169" max="7169" width="4.08984375" style="526" customWidth="1"/>
    <col min="7170" max="7170" width="13" style="526" customWidth="1"/>
    <col min="7171" max="7171" width="19.1796875" style="526" customWidth="1"/>
    <col min="7172" max="7173" width="8.453125" style="526" customWidth="1"/>
    <col min="7174" max="7174" width="14.453125" style="526" customWidth="1"/>
    <col min="7175" max="7175" width="17.26953125" style="526" customWidth="1"/>
    <col min="7176" max="7176" width="11.26953125" style="526" customWidth="1"/>
    <col min="7177" max="7177" width="9.81640625" style="526" customWidth="1"/>
    <col min="7178" max="7178" width="5.6328125" style="526" customWidth="1"/>
    <col min="7179" max="7179" width="10.7265625" style="526" customWidth="1"/>
    <col min="7180" max="7180" width="8.7265625" style="526"/>
    <col min="7181" max="7181" width="16.1796875" style="526" customWidth="1"/>
    <col min="7182" max="7182" width="8.7265625" style="526"/>
    <col min="7183" max="7183" width="8.7265625" style="526" customWidth="1"/>
    <col min="7184" max="7424" width="8.7265625" style="526"/>
    <col min="7425" max="7425" width="4.08984375" style="526" customWidth="1"/>
    <col min="7426" max="7426" width="13" style="526" customWidth="1"/>
    <col min="7427" max="7427" width="19.1796875" style="526" customWidth="1"/>
    <col min="7428" max="7429" width="8.453125" style="526" customWidth="1"/>
    <col min="7430" max="7430" width="14.453125" style="526" customWidth="1"/>
    <col min="7431" max="7431" width="17.26953125" style="526" customWidth="1"/>
    <col min="7432" max="7432" width="11.26953125" style="526" customWidth="1"/>
    <col min="7433" max="7433" width="9.81640625" style="526" customWidth="1"/>
    <col min="7434" max="7434" width="5.6328125" style="526" customWidth="1"/>
    <col min="7435" max="7435" width="10.7265625" style="526" customWidth="1"/>
    <col min="7436" max="7436" width="8.7265625" style="526"/>
    <col min="7437" max="7437" width="16.1796875" style="526" customWidth="1"/>
    <col min="7438" max="7438" width="8.7265625" style="526"/>
    <col min="7439" max="7439" width="8.7265625" style="526" customWidth="1"/>
    <col min="7440" max="7680" width="8.7265625" style="526"/>
    <col min="7681" max="7681" width="4.08984375" style="526" customWidth="1"/>
    <col min="7682" max="7682" width="13" style="526" customWidth="1"/>
    <col min="7683" max="7683" width="19.1796875" style="526" customWidth="1"/>
    <col min="7684" max="7685" width="8.453125" style="526" customWidth="1"/>
    <col min="7686" max="7686" width="14.453125" style="526" customWidth="1"/>
    <col min="7687" max="7687" width="17.26953125" style="526" customWidth="1"/>
    <col min="7688" max="7688" width="11.26953125" style="526" customWidth="1"/>
    <col min="7689" max="7689" width="9.81640625" style="526" customWidth="1"/>
    <col min="7690" max="7690" width="5.6328125" style="526" customWidth="1"/>
    <col min="7691" max="7691" width="10.7265625" style="526" customWidth="1"/>
    <col min="7692" max="7692" width="8.7265625" style="526"/>
    <col min="7693" max="7693" width="16.1796875" style="526" customWidth="1"/>
    <col min="7694" max="7694" width="8.7265625" style="526"/>
    <col min="7695" max="7695" width="8.7265625" style="526" customWidth="1"/>
    <col min="7696" max="7936" width="8.7265625" style="526"/>
    <col min="7937" max="7937" width="4.08984375" style="526" customWidth="1"/>
    <col min="7938" max="7938" width="13" style="526" customWidth="1"/>
    <col min="7939" max="7939" width="19.1796875" style="526" customWidth="1"/>
    <col min="7940" max="7941" width="8.453125" style="526" customWidth="1"/>
    <col min="7942" max="7942" width="14.453125" style="526" customWidth="1"/>
    <col min="7943" max="7943" width="17.26953125" style="526" customWidth="1"/>
    <col min="7944" max="7944" width="11.26953125" style="526" customWidth="1"/>
    <col min="7945" max="7945" width="9.81640625" style="526" customWidth="1"/>
    <col min="7946" max="7946" width="5.6328125" style="526" customWidth="1"/>
    <col min="7947" max="7947" width="10.7265625" style="526" customWidth="1"/>
    <col min="7948" max="7948" width="8.7265625" style="526"/>
    <col min="7949" max="7949" width="16.1796875" style="526" customWidth="1"/>
    <col min="7950" max="7950" width="8.7265625" style="526"/>
    <col min="7951" max="7951" width="8.7265625" style="526" customWidth="1"/>
    <col min="7952" max="8192" width="8.7265625" style="526"/>
    <col min="8193" max="8193" width="4.08984375" style="526" customWidth="1"/>
    <col min="8194" max="8194" width="13" style="526" customWidth="1"/>
    <col min="8195" max="8195" width="19.1796875" style="526" customWidth="1"/>
    <col min="8196" max="8197" width="8.453125" style="526" customWidth="1"/>
    <col min="8198" max="8198" width="14.453125" style="526" customWidth="1"/>
    <col min="8199" max="8199" width="17.26953125" style="526" customWidth="1"/>
    <col min="8200" max="8200" width="11.26953125" style="526" customWidth="1"/>
    <col min="8201" max="8201" width="9.81640625" style="526" customWidth="1"/>
    <col min="8202" max="8202" width="5.6328125" style="526" customWidth="1"/>
    <col min="8203" max="8203" width="10.7265625" style="526" customWidth="1"/>
    <col min="8204" max="8204" width="8.7265625" style="526"/>
    <col min="8205" max="8205" width="16.1796875" style="526" customWidth="1"/>
    <col min="8206" max="8206" width="8.7265625" style="526"/>
    <col min="8207" max="8207" width="8.7265625" style="526" customWidth="1"/>
    <col min="8208" max="8448" width="8.7265625" style="526"/>
    <col min="8449" max="8449" width="4.08984375" style="526" customWidth="1"/>
    <col min="8450" max="8450" width="13" style="526" customWidth="1"/>
    <col min="8451" max="8451" width="19.1796875" style="526" customWidth="1"/>
    <col min="8452" max="8453" width="8.453125" style="526" customWidth="1"/>
    <col min="8454" max="8454" width="14.453125" style="526" customWidth="1"/>
    <col min="8455" max="8455" width="17.26953125" style="526" customWidth="1"/>
    <col min="8456" max="8456" width="11.26953125" style="526" customWidth="1"/>
    <col min="8457" max="8457" width="9.81640625" style="526" customWidth="1"/>
    <col min="8458" max="8458" width="5.6328125" style="526" customWidth="1"/>
    <col min="8459" max="8459" width="10.7265625" style="526" customWidth="1"/>
    <col min="8460" max="8460" width="8.7265625" style="526"/>
    <col min="8461" max="8461" width="16.1796875" style="526" customWidth="1"/>
    <col min="8462" max="8462" width="8.7265625" style="526"/>
    <col min="8463" max="8463" width="8.7265625" style="526" customWidth="1"/>
    <col min="8464" max="8704" width="8.7265625" style="526"/>
    <col min="8705" max="8705" width="4.08984375" style="526" customWidth="1"/>
    <col min="8706" max="8706" width="13" style="526" customWidth="1"/>
    <col min="8707" max="8707" width="19.1796875" style="526" customWidth="1"/>
    <col min="8708" max="8709" width="8.453125" style="526" customWidth="1"/>
    <col min="8710" max="8710" width="14.453125" style="526" customWidth="1"/>
    <col min="8711" max="8711" width="17.26953125" style="526" customWidth="1"/>
    <col min="8712" max="8712" width="11.26953125" style="526" customWidth="1"/>
    <col min="8713" max="8713" width="9.81640625" style="526" customWidth="1"/>
    <col min="8714" max="8714" width="5.6328125" style="526" customWidth="1"/>
    <col min="8715" max="8715" width="10.7265625" style="526" customWidth="1"/>
    <col min="8716" max="8716" width="8.7265625" style="526"/>
    <col min="8717" max="8717" width="16.1796875" style="526" customWidth="1"/>
    <col min="8718" max="8718" width="8.7265625" style="526"/>
    <col min="8719" max="8719" width="8.7265625" style="526" customWidth="1"/>
    <col min="8720" max="8960" width="8.7265625" style="526"/>
    <col min="8961" max="8961" width="4.08984375" style="526" customWidth="1"/>
    <col min="8962" max="8962" width="13" style="526" customWidth="1"/>
    <col min="8963" max="8963" width="19.1796875" style="526" customWidth="1"/>
    <col min="8964" max="8965" width="8.453125" style="526" customWidth="1"/>
    <col min="8966" max="8966" width="14.453125" style="526" customWidth="1"/>
    <col min="8967" max="8967" width="17.26953125" style="526" customWidth="1"/>
    <col min="8968" max="8968" width="11.26953125" style="526" customWidth="1"/>
    <col min="8969" max="8969" width="9.81640625" style="526" customWidth="1"/>
    <col min="8970" max="8970" width="5.6328125" style="526" customWidth="1"/>
    <col min="8971" max="8971" width="10.7265625" style="526" customWidth="1"/>
    <col min="8972" max="8972" width="8.7265625" style="526"/>
    <col min="8973" max="8973" width="16.1796875" style="526" customWidth="1"/>
    <col min="8974" max="8974" width="8.7265625" style="526"/>
    <col min="8975" max="8975" width="8.7265625" style="526" customWidth="1"/>
    <col min="8976" max="9216" width="8.7265625" style="526"/>
    <col min="9217" max="9217" width="4.08984375" style="526" customWidth="1"/>
    <col min="9218" max="9218" width="13" style="526" customWidth="1"/>
    <col min="9219" max="9219" width="19.1796875" style="526" customWidth="1"/>
    <col min="9220" max="9221" width="8.453125" style="526" customWidth="1"/>
    <col min="9222" max="9222" width="14.453125" style="526" customWidth="1"/>
    <col min="9223" max="9223" width="17.26953125" style="526" customWidth="1"/>
    <col min="9224" max="9224" width="11.26953125" style="526" customWidth="1"/>
    <col min="9225" max="9225" width="9.81640625" style="526" customWidth="1"/>
    <col min="9226" max="9226" width="5.6328125" style="526" customWidth="1"/>
    <col min="9227" max="9227" width="10.7265625" style="526" customWidth="1"/>
    <col min="9228" max="9228" width="8.7265625" style="526"/>
    <col min="9229" max="9229" width="16.1796875" style="526" customWidth="1"/>
    <col min="9230" max="9230" width="8.7265625" style="526"/>
    <col min="9231" max="9231" width="8.7265625" style="526" customWidth="1"/>
    <col min="9232" max="9472" width="8.7265625" style="526"/>
    <col min="9473" max="9473" width="4.08984375" style="526" customWidth="1"/>
    <col min="9474" max="9474" width="13" style="526" customWidth="1"/>
    <col min="9475" max="9475" width="19.1796875" style="526" customWidth="1"/>
    <col min="9476" max="9477" width="8.453125" style="526" customWidth="1"/>
    <col min="9478" max="9478" width="14.453125" style="526" customWidth="1"/>
    <col min="9479" max="9479" width="17.26953125" style="526" customWidth="1"/>
    <col min="9480" max="9480" width="11.26953125" style="526" customWidth="1"/>
    <col min="9481" max="9481" width="9.81640625" style="526" customWidth="1"/>
    <col min="9482" max="9482" width="5.6328125" style="526" customWidth="1"/>
    <col min="9483" max="9483" width="10.7265625" style="526" customWidth="1"/>
    <col min="9484" max="9484" width="8.7265625" style="526"/>
    <col min="9485" max="9485" width="16.1796875" style="526" customWidth="1"/>
    <col min="9486" max="9486" width="8.7265625" style="526"/>
    <col min="9487" max="9487" width="8.7265625" style="526" customWidth="1"/>
    <col min="9488" max="9728" width="8.7265625" style="526"/>
    <col min="9729" max="9729" width="4.08984375" style="526" customWidth="1"/>
    <col min="9730" max="9730" width="13" style="526" customWidth="1"/>
    <col min="9731" max="9731" width="19.1796875" style="526" customWidth="1"/>
    <col min="9732" max="9733" width="8.453125" style="526" customWidth="1"/>
    <col min="9734" max="9734" width="14.453125" style="526" customWidth="1"/>
    <col min="9735" max="9735" width="17.26953125" style="526" customWidth="1"/>
    <col min="9736" max="9736" width="11.26953125" style="526" customWidth="1"/>
    <col min="9737" max="9737" width="9.81640625" style="526" customWidth="1"/>
    <col min="9738" max="9738" width="5.6328125" style="526" customWidth="1"/>
    <col min="9739" max="9739" width="10.7265625" style="526" customWidth="1"/>
    <col min="9740" max="9740" width="8.7265625" style="526"/>
    <col min="9741" max="9741" width="16.1796875" style="526" customWidth="1"/>
    <col min="9742" max="9742" width="8.7265625" style="526"/>
    <col min="9743" max="9743" width="8.7265625" style="526" customWidth="1"/>
    <col min="9744" max="9984" width="8.7265625" style="526"/>
    <col min="9985" max="9985" width="4.08984375" style="526" customWidth="1"/>
    <col min="9986" max="9986" width="13" style="526" customWidth="1"/>
    <col min="9987" max="9987" width="19.1796875" style="526" customWidth="1"/>
    <col min="9988" max="9989" width="8.453125" style="526" customWidth="1"/>
    <col min="9990" max="9990" width="14.453125" style="526" customWidth="1"/>
    <col min="9991" max="9991" width="17.26953125" style="526" customWidth="1"/>
    <col min="9992" max="9992" width="11.26953125" style="526" customWidth="1"/>
    <col min="9993" max="9993" width="9.81640625" style="526" customWidth="1"/>
    <col min="9994" max="9994" width="5.6328125" style="526" customWidth="1"/>
    <col min="9995" max="9995" width="10.7265625" style="526" customWidth="1"/>
    <col min="9996" max="9996" width="8.7265625" style="526"/>
    <col min="9997" max="9997" width="16.1796875" style="526" customWidth="1"/>
    <col min="9998" max="9998" width="8.7265625" style="526"/>
    <col min="9999" max="9999" width="8.7265625" style="526" customWidth="1"/>
    <col min="10000" max="10240" width="8.7265625" style="526"/>
    <col min="10241" max="10241" width="4.08984375" style="526" customWidth="1"/>
    <col min="10242" max="10242" width="13" style="526" customWidth="1"/>
    <col min="10243" max="10243" width="19.1796875" style="526" customWidth="1"/>
    <col min="10244" max="10245" width="8.453125" style="526" customWidth="1"/>
    <col min="10246" max="10246" width="14.453125" style="526" customWidth="1"/>
    <col min="10247" max="10247" width="17.26953125" style="526" customWidth="1"/>
    <col min="10248" max="10248" width="11.26953125" style="526" customWidth="1"/>
    <col min="10249" max="10249" width="9.81640625" style="526" customWidth="1"/>
    <col min="10250" max="10250" width="5.6328125" style="526" customWidth="1"/>
    <col min="10251" max="10251" width="10.7265625" style="526" customWidth="1"/>
    <col min="10252" max="10252" width="8.7265625" style="526"/>
    <col min="10253" max="10253" width="16.1796875" style="526" customWidth="1"/>
    <col min="10254" max="10254" width="8.7265625" style="526"/>
    <col min="10255" max="10255" width="8.7265625" style="526" customWidth="1"/>
    <col min="10256" max="10496" width="8.7265625" style="526"/>
    <col min="10497" max="10497" width="4.08984375" style="526" customWidth="1"/>
    <col min="10498" max="10498" width="13" style="526" customWidth="1"/>
    <col min="10499" max="10499" width="19.1796875" style="526" customWidth="1"/>
    <col min="10500" max="10501" width="8.453125" style="526" customWidth="1"/>
    <col min="10502" max="10502" width="14.453125" style="526" customWidth="1"/>
    <col min="10503" max="10503" width="17.26953125" style="526" customWidth="1"/>
    <col min="10504" max="10504" width="11.26953125" style="526" customWidth="1"/>
    <col min="10505" max="10505" width="9.81640625" style="526" customWidth="1"/>
    <col min="10506" max="10506" width="5.6328125" style="526" customWidth="1"/>
    <col min="10507" max="10507" width="10.7265625" style="526" customWidth="1"/>
    <col min="10508" max="10508" width="8.7265625" style="526"/>
    <col min="10509" max="10509" width="16.1796875" style="526" customWidth="1"/>
    <col min="10510" max="10510" width="8.7265625" style="526"/>
    <col min="10511" max="10511" width="8.7265625" style="526" customWidth="1"/>
    <col min="10512" max="10752" width="8.7265625" style="526"/>
    <col min="10753" max="10753" width="4.08984375" style="526" customWidth="1"/>
    <col min="10754" max="10754" width="13" style="526" customWidth="1"/>
    <col min="10755" max="10755" width="19.1796875" style="526" customWidth="1"/>
    <col min="10756" max="10757" width="8.453125" style="526" customWidth="1"/>
    <col min="10758" max="10758" width="14.453125" style="526" customWidth="1"/>
    <col min="10759" max="10759" width="17.26953125" style="526" customWidth="1"/>
    <col min="10760" max="10760" width="11.26953125" style="526" customWidth="1"/>
    <col min="10761" max="10761" width="9.81640625" style="526" customWidth="1"/>
    <col min="10762" max="10762" width="5.6328125" style="526" customWidth="1"/>
    <col min="10763" max="10763" width="10.7265625" style="526" customWidth="1"/>
    <col min="10764" max="10764" width="8.7265625" style="526"/>
    <col min="10765" max="10765" width="16.1796875" style="526" customWidth="1"/>
    <col min="10766" max="10766" width="8.7265625" style="526"/>
    <col min="10767" max="10767" width="8.7265625" style="526" customWidth="1"/>
    <col min="10768" max="11008" width="8.7265625" style="526"/>
    <col min="11009" max="11009" width="4.08984375" style="526" customWidth="1"/>
    <col min="11010" max="11010" width="13" style="526" customWidth="1"/>
    <col min="11011" max="11011" width="19.1796875" style="526" customWidth="1"/>
    <col min="11012" max="11013" width="8.453125" style="526" customWidth="1"/>
    <col min="11014" max="11014" width="14.453125" style="526" customWidth="1"/>
    <col min="11015" max="11015" width="17.26953125" style="526" customWidth="1"/>
    <col min="11016" max="11016" width="11.26953125" style="526" customWidth="1"/>
    <col min="11017" max="11017" width="9.81640625" style="526" customWidth="1"/>
    <col min="11018" max="11018" width="5.6328125" style="526" customWidth="1"/>
    <col min="11019" max="11019" width="10.7265625" style="526" customWidth="1"/>
    <col min="11020" max="11020" width="8.7265625" style="526"/>
    <col min="11021" max="11021" width="16.1796875" style="526" customWidth="1"/>
    <col min="11022" max="11022" width="8.7265625" style="526"/>
    <col min="11023" max="11023" width="8.7265625" style="526" customWidth="1"/>
    <col min="11024" max="11264" width="8.7265625" style="526"/>
    <col min="11265" max="11265" width="4.08984375" style="526" customWidth="1"/>
    <col min="11266" max="11266" width="13" style="526" customWidth="1"/>
    <col min="11267" max="11267" width="19.1796875" style="526" customWidth="1"/>
    <col min="11268" max="11269" width="8.453125" style="526" customWidth="1"/>
    <col min="11270" max="11270" width="14.453125" style="526" customWidth="1"/>
    <col min="11271" max="11271" width="17.26953125" style="526" customWidth="1"/>
    <col min="11272" max="11272" width="11.26953125" style="526" customWidth="1"/>
    <col min="11273" max="11273" width="9.81640625" style="526" customWidth="1"/>
    <col min="11274" max="11274" width="5.6328125" style="526" customWidth="1"/>
    <col min="11275" max="11275" width="10.7265625" style="526" customWidth="1"/>
    <col min="11276" max="11276" width="8.7265625" style="526"/>
    <col min="11277" max="11277" width="16.1796875" style="526" customWidth="1"/>
    <col min="11278" max="11278" width="8.7265625" style="526"/>
    <col min="11279" max="11279" width="8.7265625" style="526" customWidth="1"/>
    <col min="11280" max="11520" width="8.7265625" style="526"/>
    <col min="11521" max="11521" width="4.08984375" style="526" customWidth="1"/>
    <col min="11522" max="11522" width="13" style="526" customWidth="1"/>
    <col min="11523" max="11523" width="19.1796875" style="526" customWidth="1"/>
    <col min="11524" max="11525" width="8.453125" style="526" customWidth="1"/>
    <col min="11526" max="11526" width="14.453125" style="526" customWidth="1"/>
    <col min="11527" max="11527" width="17.26953125" style="526" customWidth="1"/>
    <col min="11528" max="11528" width="11.26953125" style="526" customWidth="1"/>
    <col min="11529" max="11529" width="9.81640625" style="526" customWidth="1"/>
    <col min="11530" max="11530" width="5.6328125" style="526" customWidth="1"/>
    <col min="11531" max="11531" width="10.7265625" style="526" customWidth="1"/>
    <col min="11532" max="11532" width="8.7265625" style="526"/>
    <col min="11533" max="11533" width="16.1796875" style="526" customWidth="1"/>
    <col min="11534" max="11534" width="8.7265625" style="526"/>
    <col min="11535" max="11535" width="8.7265625" style="526" customWidth="1"/>
    <col min="11536" max="11776" width="8.7265625" style="526"/>
    <col min="11777" max="11777" width="4.08984375" style="526" customWidth="1"/>
    <col min="11778" max="11778" width="13" style="526" customWidth="1"/>
    <col min="11779" max="11779" width="19.1796875" style="526" customWidth="1"/>
    <col min="11780" max="11781" width="8.453125" style="526" customWidth="1"/>
    <col min="11782" max="11782" width="14.453125" style="526" customWidth="1"/>
    <col min="11783" max="11783" width="17.26953125" style="526" customWidth="1"/>
    <col min="11784" max="11784" width="11.26953125" style="526" customWidth="1"/>
    <col min="11785" max="11785" width="9.81640625" style="526" customWidth="1"/>
    <col min="11786" max="11786" width="5.6328125" style="526" customWidth="1"/>
    <col min="11787" max="11787" width="10.7265625" style="526" customWidth="1"/>
    <col min="11788" max="11788" width="8.7265625" style="526"/>
    <col min="11789" max="11789" width="16.1796875" style="526" customWidth="1"/>
    <col min="11790" max="11790" width="8.7265625" style="526"/>
    <col min="11791" max="11791" width="8.7265625" style="526" customWidth="1"/>
    <col min="11792" max="12032" width="8.7265625" style="526"/>
    <col min="12033" max="12033" width="4.08984375" style="526" customWidth="1"/>
    <col min="12034" max="12034" width="13" style="526" customWidth="1"/>
    <col min="12035" max="12035" width="19.1796875" style="526" customWidth="1"/>
    <col min="12036" max="12037" width="8.453125" style="526" customWidth="1"/>
    <col min="12038" max="12038" width="14.453125" style="526" customWidth="1"/>
    <col min="12039" max="12039" width="17.26953125" style="526" customWidth="1"/>
    <col min="12040" max="12040" width="11.26953125" style="526" customWidth="1"/>
    <col min="12041" max="12041" width="9.81640625" style="526" customWidth="1"/>
    <col min="12042" max="12042" width="5.6328125" style="526" customWidth="1"/>
    <col min="12043" max="12043" width="10.7265625" style="526" customWidth="1"/>
    <col min="12044" max="12044" width="8.7265625" style="526"/>
    <col min="12045" max="12045" width="16.1796875" style="526" customWidth="1"/>
    <col min="12046" max="12046" width="8.7265625" style="526"/>
    <col min="12047" max="12047" width="8.7265625" style="526" customWidth="1"/>
    <col min="12048" max="12288" width="8.7265625" style="526"/>
    <col min="12289" max="12289" width="4.08984375" style="526" customWidth="1"/>
    <col min="12290" max="12290" width="13" style="526" customWidth="1"/>
    <col min="12291" max="12291" width="19.1796875" style="526" customWidth="1"/>
    <col min="12292" max="12293" width="8.453125" style="526" customWidth="1"/>
    <col min="12294" max="12294" width="14.453125" style="526" customWidth="1"/>
    <col min="12295" max="12295" width="17.26953125" style="526" customWidth="1"/>
    <col min="12296" max="12296" width="11.26953125" style="526" customWidth="1"/>
    <col min="12297" max="12297" width="9.81640625" style="526" customWidth="1"/>
    <col min="12298" max="12298" width="5.6328125" style="526" customWidth="1"/>
    <col min="12299" max="12299" width="10.7265625" style="526" customWidth="1"/>
    <col min="12300" max="12300" width="8.7265625" style="526"/>
    <col min="12301" max="12301" width="16.1796875" style="526" customWidth="1"/>
    <col min="12302" max="12302" width="8.7265625" style="526"/>
    <col min="12303" max="12303" width="8.7265625" style="526" customWidth="1"/>
    <col min="12304" max="12544" width="8.7265625" style="526"/>
    <col min="12545" max="12545" width="4.08984375" style="526" customWidth="1"/>
    <col min="12546" max="12546" width="13" style="526" customWidth="1"/>
    <col min="12547" max="12547" width="19.1796875" style="526" customWidth="1"/>
    <col min="12548" max="12549" width="8.453125" style="526" customWidth="1"/>
    <col min="12550" max="12550" width="14.453125" style="526" customWidth="1"/>
    <col min="12551" max="12551" width="17.26953125" style="526" customWidth="1"/>
    <col min="12552" max="12552" width="11.26953125" style="526" customWidth="1"/>
    <col min="12553" max="12553" width="9.81640625" style="526" customWidth="1"/>
    <col min="12554" max="12554" width="5.6328125" style="526" customWidth="1"/>
    <col min="12555" max="12555" width="10.7265625" style="526" customWidth="1"/>
    <col min="12556" max="12556" width="8.7265625" style="526"/>
    <col min="12557" max="12557" width="16.1796875" style="526" customWidth="1"/>
    <col min="12558" max="12558" width="8.7265625" style="526"/>
    <col min="12559" max="12559" width="8.7265625" style="526" customWidth="1"/>
    <col min="12560" max="12800" width="8.7265625" style="526"/>
    <col min="12801" max="12801" width="4.08984375" style="526" customWidth="1"/>
    <col min="12802" max="12802" width="13" style="526" customWidth="1"/>
    <col min="12803" max="12803" width="19.1796875" style="526" customWidth="1"/>
    <col min="12804" max="12805" width="8.453125" style="526" customWidth="1"/>
    <col min="12806" max="12806" width="14.453125" style="526" customWidth="1"/>
    <col min="12807" max="12807" width="17.26953125" style="526" customWidth="1"/>
    <col min="12808" max="12808" width="11.26953125" style="526" customWidth="1"/>
    <col min="12809" max="12809" width="9.81640625" style="526" customWidth="1"/>
    <col min="12810" max="12810" width="5.6328125" style="526" customWidth="1"/>
    <col min="12811" max="12811" width="10.7265625" style="526" customWidth="1"/>
    <col min="12812" max="12812" width="8.7265625" style="526"/>
    <col min="12813" max="12813" width="16.1796875" style="526" customWidth="1"/>
    <col min="12814" max="12814" width="8.7265625" style="526"/>
    <col min="12815" max="12815" width="8.7265625" style="526" customWidth="1"/>
    <col min="12816" max="13056" width="8.7265625" style="526"/>
    <col min="13057" max="13057" width="4.08984375" style="526" customWidth="1"/>
    <col min="13058" max="13058" width="13" style="526" customWidth="1"/>
    <col min="13059" max="13059" width="19.1796875" style="526" customWidth="1"/>
    <col min="13060" max="13061" width="8.453125" style="526" customWidth="1"/>
    <col min="13062" max="13062" width="14.453125" style="526" customWidth="1"/>
    <col min="13063" max="13063" width="17.26953125" style="526" customWidth="1"/>
    <col min="13064" max="13064" width="11.26953125" style="526" customWidth="1"/>
    <col min="13065" max="13065" width="9.81640625" style="526" customWidth="1"/>
    <col min="13066" max="13066" width="5.6328125" style="526" customWidth="1"/>
    <col min="13067" max="13067" width="10.7265625" style="526" customWidth="1"/>
    <col min="13068" max="13068" width="8.7265625" style="526"/>
    <col min="13069" max="13069" width="16.1796875" style="526" customWidth="1"/>
    <col min="13070" max="13070" width="8.7265625" style="526"/>
    <col min="13071" max="13071" width="8.7265625" style="526" customWidth="1"/>
    <col min="13072" max="13312" width="8.7265625" style="526"/>
    <col min="13313" max="13313" width="4.08984375" style="526" customWidth="1"/>
    <col min="13314" max="13314" width="13" style="526" customWidth="1"/>
    <col min="13315" max="13315" width="19.1796875" style="526" customWidth="1"/>
    <col min="13316" max="13317" width="8.453125" style="526" customWidth="1"/>
    <col min="13318" max="13318" width="14.453125" style="526" customWidth="1"/>
    <col min="13319" max="13319" width="17.26953125" style="526" customWidth="1"/>
    <col min="13320" max="13320" width="11.26953125" style="526" customWidth="1"/>
    <col min="13321" max="13321" width="9.81640625" style="526" customWidth="1"/>
    <col min="13322" max="13322" width="5.6328125" style="526" customWidth="1"/>
    <col min="13323" max="13323" width="10.7265625" style="526" customWidth="1"/>
    <col min="13324" max="13324" width="8.7265625" style="526"/>
    <col min="13325" max="13325" width="16.1796875" style="526" customWidth="1"/>
    <col min="13326" max="13326" width="8.7265625" style="526"/>
    <col min="13327" max="13327" width="8.7265625" style="526" customWidth="1"/>
    <col min="13328" max="13568" width="8.7265625" style="526"/>
    <col min="13569" max="13569" width="4.08984375" style="526" customWidth="1"/>
    <col min="13570" max="13570" width="13" style="526" customWidth="1"/>
    <col min="13571" max="13571" width="19.1796875" style="526" customWidth="1"/>
    <col min="13572" max="13573" width="8.453125" style="526" customWidth="1"/>
    <col min="13574" max="13574" width="14.453125" style="526" customWidth="1"/>
    <col min="13575" max="13575" width="17.26953125" style="526" customWidth="1"/>
    <col min="13576" max="13576" width="11.26953125" style="526" customWidth="1"/>
    <col min="13577" max="13577" width="9.81640625" style="526" customWidth="1"/>
    <col min="13578" max="13578" width="5.6328125" style="526" customWidth="1"/>
    <col min="13579" max="13579" width="10.7265625" style="526" customWidth="1"/>
    <col min="13580" max="13580" width="8.7265625" style="526"/>
    <col min="13581" max="13581" width="16.1796875" style="526" customWidth="1"/>
    <col min="13582" max="13582" width="8.7265625" style="526"/>
    <col min="13583" max="13583" width="8.7265625" style="526" customWidth="1"/>
    <col min="13584" max="13824" width="8.7265625" style="526"/>
    <col min="13825" max="13825" width="4.08984375" style="526" customWidth="1"/>
    <col min="13826" max="13826" width="13" style="526" customWidth="1"/>
    <col min="13827" max="13827" width="19.1796875" style="526" customWidth="1"/>
    <col min="13828" max="13829" width="8.453125" style="526" customWidth="1"/>
    <col min="13830" max="13830" width="14.453125" style="526" customWidth="1"/>
    <col min="13831" max="13831" width="17.26953125" style="526" customWidth="1"/>
    <col min="13832" max="13832" width="11.26953125" style="526" customWidth="1"/>
    <col min="13833" max="13833" width="9.81640625" style="526" customWidth="1"/>
    <col min="13834" max="13834" width="5.6328125" style="526" customWidth="1"/>
    <col min="13835" max="13835" width="10.7265625" style="526" customWidth="1"/>
    <col min="13836" max="13836" width="8.7265625" style="526"/>
    <col min="13837" max="13837" width="16.1796875" style="526" customWidth="1"/>
    <col min="13838" max="13838" width="8.7265625" style="526"/>
    <col min="13839" max="13839" width="8.7265625" style="526" customWidth="1"/>
    <col min="13840" max="14080" width="8.7265625" style="526"/>
    <col min="14081" max="14081" width="4.08984375" style="526" customWidth="1"/>
    <col min="14082" max="14082" width="13" style="526" customWidth="1"/>
    <col min="14083" max="14083" width="19.1796875" style="526" customWidth="1"/>
    <col min="14084" max="14085" width="8.453125" style="526" customWidth="1"/>
    <col min="14086" max="14086" width="14.453125" style="526" customWidth="1"/>
    <col min="14087" max="14087" width="17.26953125" style="526" customWidth="1"/>
    <col min="14088" max="14088" width="11.26953125" style="526" customWidth="1"/>
    <col min="14089" max="14089" width="9.81640625" style="526" customWidth="1"/>
    <col min="14090" max="14090" width="5.6328125" style="526" customWidth="1"/>
    <col min="14091" max="14091" width="10.7265625" style="526" customWidth="1"/>
    <col min="14092" max="14092" width="8.7265625" style="526"/>
    <col min="14093" max="14093" width="16.1796875" style="526" customWidth="1"/>
    <col min="14094" max="14094" width="8.7265625" style="526"/>
    <col min="14095" max="14095" width="8.7265625" style="526" customWidth="1"/>
    <col min="14096" max="14336" width="8.7265625" style="526"/>
    <col min="14337" max="14337" width="4.08984375" style="526" customWidth="1"/>
    <col min="14338" max="14338" width="13" style="526" customWidth="1"/>
    <col min="14339" max="14339" width="19.1796875" style="526" customWidth="1"/>
    <col min="14340" max="14341" width="8.453125" style="526" customWidth="1"/>
    <col min="14342" max="14342" width="14.453125" style="526" customWidth="1"/>
    <col min="14343" max="14343" width="17.26953125" style="526" customWidth="1"/>
    <col min="14344" max="14344" width="11.26953125" style="526" customWidth="1"/>
    <col min="14345" max="14345" width="9.81640625" style="526" customWidth="1"/>
    <col min="14346" max="14346" width="5.6328125" style="526" customWidth="1"/>
    <col min="14347" max="14347" width="10.7265625" style="526" customWidth="1"/>
    <col min="14348" max="14348" width="8.7265625" style="526"/>
    <col min="14349" max="14349" width="16.1796875" style="526" customWidth="1"/>
    <col min="14350" max="14350" width="8.7265625" style="526"/>
    <col min="14351" max="14351" width="8.7265625" style="526" customWidth="1"/>
    <col min="14352" max="14592" width="8.7265625" style="526"/>
    <col min="14593" max="14593" width="4.08984375" style="526" customWidth="1"/>
    <col min="14594" max="14594" width="13" style="526" customWidth="1"/>
    <col min="14595" max="14595" width="19.1796875" style="526" customWidth="1"/>
    <col min="14596" max="14597" width="8.453125" style="526" customWidth="1"/>
    <col min="14598" max="14598" width="14.453125" style="526" customWidth="1"/>
    <col min="14599" max="14599" width="17.26953125" style="526" customWidth="1"/>
    <col min="14600" max="14600" width="11.26953125" style="526" customWidth="1"/>
    <col min="14601" max="14601" width="9.81640625" style="526" customWidth="1"/>
    <col min="14602" max="14602" width="5.6328125" style="526" customWidth="1"/>
    <col min="14603" max="14603" width="10.7265625" style="526" customWidth="1"/>
    <col min="14604" max="14604" width="8.7265625" style="526"/>
    <col min="14605" max="14605" width="16.1796875" style="526" customWidth="1"/>
    <col min="14606" max="14606" width="8.7265625" style="526"/>
    <col min="14607" max="14607" width="8.7265625" style="526" customWidth="1"/>
    <col min="14608" max="14848" width="8.7265625" style="526"/>
    <col min="14849" max="14849" width="4.08984375" style="526" customWidth="1"/>
    <col min="14850" max="14850" width="13" style="526" customWidth="1"/>
    <col min="14851" max="14851" width="19.1796875" style="526" customWidth="1"/>
    <col min="14852" max="14853" width="8.453125" style="526" customWidth="1"/>
    <col min="14854" max="14854" width="14.453125" style="526" customWidth="1"/>
    <col min="14855" max="14855" width="17.26953125" style="526" customWidth="1"/>
    <col min="14856" max="14856" width="11.26953125" style="526" customWidth="1"/>
    <col min="14857" max="14857" width="9.81640625" style="526" customWidth="1"/>
    <col min="14858" max="14858" width="5.6328125" style="526" customWidth="1"/>
    <col min="14859" max="14859" width="10.7265625" style="526" customWidth="1"/>
    <col min="14860" max="14860" width="8.7265625" style="526"/>
    <col min="14861" max="14861" width="16.1796875" style="526" customWidth="1"/>
    <col min="14862" max="14862" width="8.7265625" style="526"/>
    <col min="14863" max="14863" width="8.7265625" style="526" customWidth="1"/>
    <col min="14864" max="15104" width="8.7265625" style="526"/>
    <col min="15105" max="15105" width="4.08984375" style="526" customWidth="1"/>
    <col min="15106" max="15106" width="13" style="526" customWidth="1"/>
    <col min="15107" max="15107" width="19.1796875" style="526" customWidth="1"/>
    <col min="15108" max="15109" width="8.453125" style="526" customWidth="1"/>
    <col min="15110" max="15110" width="14.453125" style="526" customWidth="1"/>
    <col min="15111" max="15111" width="17.26953125" style="526" customWidth="1"/>
    <col min="15112" max="15112" width="11.26953125" style="526" customWidth="1"/>
    <col min="15113" max="15113" width="9.81640625" style="526" customWidth="1"/>
    <col min="15114" max="15114" width="5.6328125" style="526" customWidth="1"/>
    <col min="15115" max="15115" width="10.7265625" style="526" customWidth="1"/>
    <col min="15116" max="15116" width="8.7265625" style="526"/>
    <col min="15117" max="15117" width="16.1796875" style="526" customWidth="1"/>
    <col min="15118" max="15118" width="8.7265625" style="526"/>
    <col min="15119" max="15119" width="8.7265625" style="526" customWidth="1"/>
    <col min="15120" max="15360" width="8.7265625" style="526"/>
    <col min="15361" max="15361" width="4.08984375" style="526" customWidth="1"/>
    <col min="15362" max="15362" width="13" style="526" customWidth="1"/>
    <col min="15363" max="15363" width="19.1796875" style="526" customWidth="1"/>
    <col min="15364" max="15365" width="8.453125" style="526" customWidth="1"/>
    <col min="15366" max="15366" width="14.453125" style="526" customWidth="1"/>
    <col min="15367" max="15367" width="17.26953125" style="526" customWidth="1"/>
    <col min="15368" max="15368" width="11.26953125" style="526" customWidth="1"/>
    <col min="15369" max="15369" width="9.81640625" style="526" customWidth="1"/>
    <col min="15370" max="15370" width="5.6328125" style="526" customWidth="1"/>
    <col min="15371" max="15371" width="10.7265625" style="526" customWidth="1"/>
    <col min="15372" max="15372" width="8.7265625" style="526"/>
    <col min="15373" max="15373" width="16.1796875" style="526" customWidth="1"/>
    <col min="15374" max="15374" width="8.7265625" style="526"/>
    <col min="15375" max="15375" width="8.7265625" style="526" customWidth="1"/>
    <col min="15376" max="15616" width="8.7265625" style="526"/>
    <col min="15617" max="15617" width="4.08984375" style="526" customWidth="1"/>
    <col min="15618" max="15618" width="13" style="526" customWidth="1"/>
    <col min="15619" max="15619" width="19.1796875" style="526" customWidth="1"/>
    <col min="15620" max="15621" width="8.453125" style="526" customWidth="1"/>
    <col min="15622" max="15622" width="14.453125" style="526" customWidth="1"/>
    <col min="15623" max="15623" width="17.26953125" style="526" customWidth="1"/>
    <col min="15624" max="15624" width="11.26953125" style="526" customWidth="1"/>
    <col min="15625" max="15625" width="9.81640625" style="526" customWidth="1"/>
    <col min="15626" max="15626" width="5.6328125" style="526" customWidth="1"/>
    <col min="15627" max="15627" width="10.7265625" style="526" customWidth="1"/>
    <col min="15628" max="15628" width="8.7265625" style="526"/>
    <col min="15629" max="15629" width="16.1796875" style="526" customWidth="1"/>
    <col min="15630" max="15630" width="8.7265625" style="526"/>
    <col min="15631" max="15631" width="8.7265625" style="526" customWidth="1"/>
    <col min="15632" max="15872" width="8.7265625" style="526"/>
    <col min="15873" max="15873" width="4.08984375" style="526" customWidth="1"/>
    <col min="15874" max="15874" width="13" style="526" customWidth="1"/>
    <col min="15875" max="15875" width="19.1796875" style="526" customWidth="1"/>
    <col min="15876" max="15877" width="8.453125" style="526" customWidth="1"/>
    <col min="15878" max="15878" width="14.453125" style="526" customWidth="1"/>
    <col min="15879" max="15879" width="17.26953125" style="526" customWidth="1"/>
    <col min="15880" max="15880" width="11.26953125" style="526" customWidth="1"/>
    <col min="15881" max="15881" width="9.81640625" style="526" customWidth="1"/>
    <col min="15882" max="15882" width="5.6328125" style="526" customWidth="1"/>
    <col min="15883" max="15883" width="10.7265625" style="526" customWidth="1"/>
    <col min="15884" max="15884" width="8.7265625" style="526"/>
    <col min="15885" max="15885" width="16.1796875" style="526" customWidth="1"/>
    <col min="15886" max="15886" width="8.7265625" style="526"/>
    <col min="15887" max="15887" width="8.7265625" style="526" customWidth="1"/>
    <col min="15888" max="16128" width="8.7265625" style="526"/>
    <col min="16129" max="16129" width="4.08984375" style="526" customWidth="1"/>
    <col min="16130" max="16130" width="13" style="526" customWidth="1"/>
    <col min="16131" max="16131" width="19.1796875" style="526" customWidth="1"/>
    <col min="16132" max="16133" width="8.453125" style="526" customWidth="1"/>
    <col min="16134" max="16134" width="14.453125" style="526" customWidth="1"/>
    <col min="16135" max="16135" width="17.26953125" style="526" customWidth="1"/>
    <col min="16136" max="16136" width="11.26953125" style="526" customWidth="1"/>
    <col min="16137" max="16137" width="9.81640625" style="526" customWidth="1"/>
    <col min="16138" max="16138" width="5.6328125" style="526" customWidth="1"/>
    <col min="16139" max="16139" width="10.7265625" style="526" customWidth="1"/>
    <col min="16140" max="16140" width="8.7265625" style="526"/>
    <col min="16141" max="16141" width="16.1796875" style="526" customWidth="1"/>
    <col min="16142" max="16142" width="8.7265625" style="526"/>
    <col min="16143" max="16143" width="8.7265625" style="526" customWidth="1"/>
    <col min="16144" max="16384" width="8.7265625" style="526"/>
  </cols>
  <sheetData>
    <row r="2" spans="2:15" ht="30" customHeight="1">
      <c r="B2" s="943" t="s">
        <v>12</v>
      </c>
      <c r="C2" s="943"/>
      <c r="D2" s="943"/>
      <c r="E2" s="943"/>
      <c r="F2" s="943"/>
      <c r="G2" s="943"/>
      <c r="H2" s="943"/>
      <c r="I2" s="943"/>
      <c r="J2" s="943"/>
      <c r="K2" s="943"/>
      <c r="L2" s="943"/>
      <c r="N2" s="532"/>
    </row>
    <row r="3" spans="2:15" ht="32" customHeight="1"/>
    <row r="4" spans="2:15" ht="17" customHeight="1"/>
    <row r="5" spans="2:15" ht="17" customHeight="1"/>
    <row r="8" spans="2:15" ht="14.5" customHeight="1">
      <c r="B8" s="944" t="s">
        <v>6</v>
      </c>
      <c r="C8" s="944"/>
      <c r="D8" s="944" t="s">
        <v>11</v>
      </c>
      <c r="E8" s="944"/>
      <c r="F8" s="944"/>
      <c r="G8" s="945" t="s">
        <v>2957</v>
      </c>
      <c r="H8" s="946">
        <f>K17/K8</f>
        <v>8.9299226586593079</v>
      </c>
      <c r="I8" s="947" t="s">
        <v>630</v>
      </c>
      <c r="J8" s="947"/>
      <c r="K8" s="948">
        <v>50.5</v>
      </c>
      <c r="L8" s="949" t="s">
        <v>631</v>
      </c>
    </row>
    <row r="9" spans="2:15" ht="16" customHeight="1">
      <c r="B9" s="944"/>
      <c r="C9" s="944"/>
      <c r="D9" s="944"/>
      <c r="E9" s="944"/>
      <c r="F9" s="944"/>
      <c r="G9" s="945"/>
      <c r="H9" s="946"/>
      <c r="I9" s="947"/>
      <c r="J9" s="947"/>
      <c r="K9" s="948"/>
      <c r="L9" s="949"/>
    </row>
    <row r="10" spans="2:15" ht="22.5" customHeight="1">
      <c r="B10" s="533"/>
      <c r="C10" s="533"/>
      <c r="D10" s="533"/>
      <c r="E10" s="533"/>
      <c r="F10" s="533"/>
      <c r="G10" s="534" t="s">
        <v>2958</v>
      </c>
      <c r="H10" s="535">
        <f>K16/K8</f>
        <v>544.72528217821787</v>
      </c>
    </row>
    <row r="11" spans="2:15" ht="16">
      <c r="B11" s="536" t="s">
        <v>632</v>
      </c>
      <c r="C11" s="536" t="s">
        <v>633</v>
      </c>
      <c r="D11" s="536" t="s">
        <v>634</v>
      </c>
      <c r="E11" s="536" t="s">
        <v>635</v>
      </c>
      <c r="F11" s="536" t="s">
        <v>636</v>
      </c>
      <c r="G11" s="536" t="s">
        <v>637</v>
      </c>
      <c r="H11" s="536" t="s">
        <v>638</v>
      </c>
      <c r="I11" s="536" t="s">
        <v>639</v>
      </c>
      <c r="J11" s="537" t="s">
        <v>640</v>
      </c>
      <c r="K11" s="537" t="s">
        <v>641</v>
      </c>
      <c r="L11" s="528"/>
      <c r="M11" s="527"/>
      <c r="O11" s="526" t="s">
        <v>0</v>
      </c>
    </row>
    <row r="12" spans="2:15" ht="16">
      <c r="B12" s="528" t="s">
        <v>642</v>
      </c>
      <c r="C12" s="528" t="s">
        <v>643</v>
      </c>
      <c r="D12" s="528">
        <v>12</v>
      </c>
      <c r="E12" s="528">
        <f>IF(N21=4,"",IF(N21&lt;=2,150,100))</f>
        <v>150</v>
      </c>
      <c r="F12" s="528" t="s">
        <v>644</v>
      </c>
      <c r="G12" s="528" t="str">
        <f>IF(N21=4,"","5.8")</f>
        <v>5.8</v>
      </c>
      <c r="H12" s="528">
        <f>IF(N21=4,"",INDEX(х150,$I$20))</f>
        <v>345</v>
      </c>
      <c r="I12" s="528">
        <f>IF(N21=4,0,IF(N21&lt;=2,O12*H12,O16*H12))</f>
        <v>50.887499999999996</v>
      </c>
      <c r="J12" s="538">
        <f>Заявка!K464</f>
        <v>140</v>
      </c>
      <c r="K12" s="529">
        <f>J12*I12</f>
        <v>7124.2499999999991</v>
      </c>
      <c r="L12" s="536" t="s">
        <v>631</v>
      </c>
      <c r="O12" s="526">
        <v>0.14749999999999999</v>
      </c>
    </row>
    <row r="13" spans="2:15" ht="16">
      <c r="B13" s="528" t="s">
        <v>642</v>
      </c>
      <c r="C13" s="528" t="s">
        <v>643</v>
      </c>
      <c r="D13" s="528">
        <v>12</v>
      </c>
      <c r="E13" s="528">
        <v>70</v>
      </c>
      <c r="F13" s="528" t="s">
        <v>644</v>
      </c>
      <c r="G13" s="528">
        <v>5.8</v>
      </c>
      <c r="H13" s="528">
        <f>INDEX(х70,$I$20)</f>
        <v>1380</v>
      </c>
      <c r="I13" s="528">
        <f>O13*H13</f>
        <v>105.48719999999999</v>
      </c>
      <c r="J13" s="528">
        <f>J12</f>
        <v>140</v>
      </c>
      <c r="K13" s="529">
        <f>J13*I13</f>
        <v>14768.207999999999</v>
      </c>
      <c r="L13" s="536" t="s">
        <v>631</v>
      </c>
      <c r="O13" s="526">
        <v>7.6439999999999994E-2</v>
      </c>
    </row>
    <row r="14" spans="2:15" ht="16">
      <c r="B14" s="528" t="s">
        <v>645</v>
      </c>
      <c r="C14" s="528" t="s">
        <v>646</v>
      </c>
      <c r="D14" s="528">
        <v>12</v>
      </c>
      <c r="E14" s="528"/>
      <c r="F14" s="528" t="s">
        <v>644</v>
      </c>
      <c r="G14" s="528">
        <v>6</v>
      </c>
      <c r="H14" s="528">
        <f>INDEX(гайка,$I$20)</f>
        <v>1725</v>
      </c>
      <c r="I14" s="528">
        <f>O14*H14</f>
        <v>29.842499999999998</v>
      </c>
      <c r="J14" s="528">
        <f>J12</f>
        <v>140</v>
      </c>
      <c r="K14" s="529">
        <f>J14*I14</f>
        <v>4177.95</v>
      </c>
      <c r="L14" s="536" t="s">
        <v>631</v>
      </c>
      <c r="O14" s="526">
        <v>1.7299999999999999E-2</v>
      </c>
    </row>
    <row r="15" spans="2:15" ht="16">
      <c r="B15" s="528" t="s">
        <v>647</v>
      </c>
      <c r="C15" s="528" t="s">
        <v>648</v>
      </c>
      <c r="D15" s="528">
        <v>12</v>
      </c>
      <c r="E15" s="528"/>
      <c r="F15" s="528" t="s">
        <v>644</v>
      </c>
      <c r="G15" s="528"/>
      <c r="H15" s="528">
        <f>INDEX(шайба,$I$20)</f>
        <v>1725</v>
      </c>
      <c r="I15" s="528">
        <f>O15*H15</f>
        <v>11.505750000000001</v>
      </c>
      <c r="J15" s="538">
        <f>Заявка!K467</f>
        <v>125</v>
      </c>
      <c r="K15" s="529">
        <f>J15*I15</f>
        <v>1438.21875</v>
      </c>
      <c r="L15" s="536" t="s">
        <v>631</v>
      </c>
      <c r="O15" s="526">
        <v>6.6700000000000006E-3</v>
      </c>
    </row>
    <row r="16" spans="2:15" ht="20.5">
      <c r="B16" s="941" t="s">
        <v>2959</v>
      </c>
      <c r="C16" s="941"/>
      <c r="D16" s="941"/>
      <c r="E16" s="941"/>
      <c r="F16" s="941"/>
      <c r="G16" s="941"/>
      <c r="H16" s="528">
        <f>SUM(H12:H15)</f>
        <v>5175</v>
      </c>
      <c r="I16" s="539">
        <f>SUM(I12:I15)</f>
        <v>197.72295</v>
      </c>
      <c r="J16" s="528"/>
      <c r="K16" s="540">
        <f>SUM(K12:K15)</f>
        <v>27508.626749999999</v>
      </c>
      <c r="L16" s="536" t="s">
        <v>631</v>
      </c>
      <c r="M16" s="530"/>
      <c r="O16" s="526">
        <v>0.1031</v>
      </c>
    </row>
    <row r="17" spans="2:14" ht="20.5">
      <c r="B17" s="942" t="s">
        <v>649</v>
      </c>
      <c r="C17" s="942"/>
      <c r="D17" s="942"/>
      <c r="E17" s="942"/>
      <c r="F17" s="942"/>
      <c r="G17" s="942"/>
      <c r="H17" s="528"/>
      <c r="I17" s="539">
        <f>I16/B42</f>
        <v>3.2413598360655738</v>
      </c>
      <c r="J17" s="528"/>
      <c r="K17" s="529">
        <f>K16/B42</f>
        <v>450.96109426229509</v>
      </c>
      <c r="L17" s="536" t="s">
        <v>631</v>
      </c>
    </row>
    <row r="20" spans="2:14" ht="30.5" customHeight="1">
      <c r="B20" s="526" t="s">
        <v>7</v>
      </c>
      <c r="C20" s="526" t="s">
        <v>1</v>
      </c>
      <c r="D20" s="531" t="s">
        <v>3</v>
      </c>
      <c r="E20" s="531" t="s">
        <v>2</v>
      </c>
      <c r="F20" s="531" t="s">
        <v>4</v>
      </c>
      <c r="G20" s="531" t="s">
        <v>5</v>
      </c>
      <c r="H20" s="531" t="s">
        <v>9</v>
      </c>
      <c r="I20" s="541">
        <f>IF(K20=1,3,4)</f>
        <v>3</v>
      </c>
      <c r="J20" s="527" t="s">
        <v>670</v>
      </c>
      <c r="K20" s="542">
        <f>закулисье!K5</f>
        <v>1</v>
      </c>
      <c r="N20" s="526">
        <f>закулисье!P3</f>
        <v>1</v>
      </c>
    </row>
    <row r="21" spans="2:14">
      <c r="B21" s="526">
        <v>106</v>
      </c>
      <c r="C21" s="526" t="s">
        <v>650</v>
      </c>
      <c r="D21" s="526">
        <v>585</v>
      </c>
      <c r="E21" s="526">
        <v>2350</v>
      </c>
      <c r="F21" s="526">
        <f>D21+E21</f>
        <v>2935</v>
      </c>
      <c r="G21" s="526">
        <f>F21</f>
        <v>2935</v>
      </c>
      <c r="M21" s="526" t="s">
        <v>8</v>
      </c>
      <c r="N21" s="541">
        <f>N20</f>
        <v>1</v>
      </c>
    </row>
    <row r="22" spans="2:14">
      <c r="B22" s="526">
        <v>19</v>
      </c>
      <c r="C22" s="526" t="s">
        <v>651</v>
      </c>
      <c r="D22" s="526">
        <v>100</v>
      </c>
      <c r="E22" s="526">
        <v>390</v>
      </c>
      <c r="F22" s="526">
        <f t="shared" ref="F22:F40" si="0">D22+E22</f>
        <v>490</v>
      </c>
      <c r="G22" s="526">
        <f t="shared" ref="G22:G40" si="1">F22</f>
        <v>490</v>
      </c>
      <c r="M22" s="526" t="s">
        <v>10</v>
      </c>
    </row>
    <row r="23" spans="2:14">
      <c r="B23" s="526">
        <v>61</v>
      </c>
      <c r="C23" s="526" t="s">
        <v>652</v>
      </c>
      <c r="D23" s="526">
        <f>H23*2</f>
        <v>345</v>
      </c>
      <c r="E23" s="526">
        <f>H23*8</f>
        <v>1380</v>
      </c>
      <c r="F23" s="526">
        <f t="shared" si="0"/>
        <v>1725</v>
      </c>
      <c r="G23" s="526">
        <f t="shared" si="1"/>
        <v>1725</v>
      </c>
      <c r="H23" s="526">
        <v>172.5</v>
      </c>
      <c r="M23" s="526" t="s">
        <v>9</v>
      </c>
    </row>
    <row r="24" spans="2:14">
      <c r="B24" s="526">
        <v>46</v>
      </c>
      <c r="C24" s="526" t="s">
        <v>653</v>
      </c>
      <c r="D24" s="526">
        <f t="shared" ref="D24:D40" si="2">H24*2</f>
        <v>255</v>
      </c>
      <c r="E24" s="526">
        <f t="shared" ref="E24:E40" si="3">H24*8</f>
        <v>1020</v>
      </c>
      <c r="F24" s="526">
        <f t="shared" si="0"/>
        <v>1275</v>
      </c>
      <c r="G24" s="526">
        <f t="shared" si="1"/>
        <v>1275</v>
      </c>
      <c r="H24" s="526">
        <v>127.5</v>
      </c>
    </row>
    <row r="25" spans="2:14">
      <c r="B25" s="526">
        <v>31</v>
      </c>
      <c r="C25" s="526" t="s">
        <v>654</v>
      </c>
      <c r="D25" s="526">
        <f t="shared" si="2"/>
        <v>165</v>
      </c>
      <c r="E25" s="526">
        <f t="shared" si="3"/>
        <v>660</v>
      </c>
      <c r="F25" s="526">
        <f t="shared" si="0"/>
        <v>825</v>
      </c>
      <c r="G25" s="526">
        <f t="shared" si="1"/>
        <v>825</v>
      </c>
      <c r="H25" s="526">
        <v>82.5</v>
      </c>
    </row>
    <row r="26" spans="2:14">
      <c r="B26" s="526">
        <v>131</v>
      </c>
      <c r="C26" s="526" t="s">
        <v>655</v>
      </c>
      <c r="D26" s="526">
        <f t="shared" si="2"/>
        <v>760</v>
      </c>
      <c r="E26" s="526">
        <f t="shared" si="3"/>
        <v>3040</v>
      </c>
      <c r="F26" s="526">
        <f t="shared" si="0"/>
        <v>3800</v>
      </c>
      <c r="G26" s="526">
        <f t="shared" si="1"/>
        <v>3800</v>
      </c>
      <c r="H26" s="526">
        <v>380</v>
      </c>
    </row>
    <row r="27" spans="2:14">
      <c r="B27" s="526">
        <v>111</v>
      </c>
      <c r="C27" s="526" t="s">
        <v>656</v>
      </c>
      <c r="D27" s="526">
        <f t="shared" si="2"/>
        <v>620</v>
      </c>
      <c r="E27" s="526">
        <f t="shared" si="3"/>
        <v>2480</v>
      </c>
      <c r="F27" s="526">
        <f t="shared" si="0"/>
        <v>3100</v>
      </c>
      <c r="G27" s="526">
        <f t="shared" si="1"/>
        <v>3100</v>
      </c>
      <c r="H27" s="526">
        <v>310</v>
      </c>
    </row>
    <row r="28" spans="2:14">
      <c r="B28" s="526">
        <v>91</v>
      </c>
      <c r="C28" s="526" t="s">
        <v>657</v>
      </c>
      <c r="D28" s="526">
        <f t="shared" si="2"/>
        <v>520</v>
      </c>
      <c r="E28" s="526">
        <f t="shared" si="3"/>
        <v>2080</v>
      </c>
      <c r="F28" s="526">
        <f t="shared" si="0"/>
        <v>2600</v>
      </c>
      <c r="G28" s="526">
        <f t="shared" si="1"/>
        <v>2600</v>
      </c>
      <c r="H28" s="526">
        <v>260</v>
      </c>
    </row>
    <row r="29" spans="2:14">
      <c r="B29" s="526">
        <v>71</v>
      </c>
      <c r="C29" s="526" t="s">
        <v>658</v>
      </c>
      <c r="D29" s="526">
        <f t="shared" si="2"/>
        <v>400</v>
      </c>
      <c r="E29" s="526">
        <f t="shared" si="3"/>
        <v>1600</v>
      </c>
      <c r="F29" s="526">
        <f t="shared" si="0"/>
        <v>2000</v>
      </c>
      <c r="G29" s="526">
        <f t="shared" si="1"/>
        <v>2000</v>
      </c>
      <c r="H29" s="526">
        <v>200</v>
      </c>
    </row>
    <row r="30" spans="2:14">
      <c r="B30" s="526">
        <v>51</v>
      </c>
      <c r="C30" s="526" t="s">
        <v>659</v>
      </c>
      <c r="D30" s="526">
        <f t="shared" si="2"/>
        <v>280</v>
      </c>
      <c r="E30" s="526">
        <f t="shared" si="3"/>
        <v>1120</v>
      </c>
      <c r="F30" s="526">
        <f t="shared" si="0"/>
        <v>1400</v>
      </c>
      <c r="G30" s="526">
        <f t="shared" si="1"/>
        <v>1400</v>
      </c>
      <c r="H30" s="526">
        <v>140</v>
      </c>
    </row>
    <row r="31" spans="2:14">
      <c r="B31" s="526">
        <v>175</v>
      </c>
      <c r="C31" s="526" t="s">
        <v>660</v>
      </c>
      <c r="D31" s="526">
        <f t="shared" si="2"/>
        <v>1025</v>
      </c>
      <c r="E31" s="526">
        <f t="shared" si="3"/>
        <v>4100</v>
      </c>
      <c r="F31" s="526">
        <f t="shared" si="0"/>
        <v>5125</v>
      </c>
      <c r="G31" s="526">
        <f t="shared" si="1"/>
        <v>5125</v>
      </c>
      <c r="H31" s="526">
        <v>512.5</v>
      </c>
    </row>
    <row r="32" spans="2:14">
      <c r="B32" s="526">
        <v>151</v>
      </c>
      <c r="C32" s="526" t="s">
        <v>661</v>
      </c>
      <c r="D32" s="526">
        <f t="shared" si="2"/>
        <v>875</v>
      </c>
      <c r="E32" s="526">
        <f t="shared" si="3"/>
        <v>3500</v>
      </c>
      <c r="F32" s="526">
        <f t="shared" si="0"/>
        <v>4375</v>
      </c>
      <c r="G32" s="526">
        <f t="shared" si="1"/>
        <v>4375</v>
      </c>
      <c r="H32" s="526">
        <v>437.5</v>
      </c>
    </row>
    <row r="33" spans="2:8">
      <c r="B33" s="526">
        <v>126</v>
      </c>
      <c r="C33" s="526" t="s">
        <v>662</v>
      </c>
      <c r="D33" s="526">
        <f t="shared" si="2"/>
        <v>725</v>
      </c>
      <c r="E33" s="526">
        <f t="shared" si="3"/>
        <v>2900</v>
      </c>
      <c r="F33" s="526">
        <f t="shared" si="0"/>
        <v>3625</v>
      </c>
      <c r="G33" s="526">
        <f t="shared" si="1"/>
        <v>3625</v>
      </c>
      <c r="H33" s="526">
        <v>362.5</v>
      </c>
    </row>
    <row r="34" spans="2:8">
      <c r="B34" s="526">
        <v>101</v>
      </c>
      <c r="C34" s="526" t="s">
        <v>663</v>
      </c>
      <c r="D34" s="526">
        <f t="shared" si="2"/>
        <v>575</v>
      </c>
      <c r="E34" s="526">
        <f t="shared" si="3"/>
        <v>2300</v>
      </c>
      <c r="F34" s="526">
        <f t="shared" si="0"/>
        <v>2875</v>
      </c>
      <c r="G34" s="526">
        <f t="shared" si="1"/>
        <v>2875</v>
      </c>
      <c r="H34" s="526">
        <v>287.5</v>
      </c>
    </row>
    <row r="35" spans="2:8">
      <c r="B35" s="526">
        <v>226</v>
      </c>
      <c r="C35" s="526" t="s">
        <v>664</v>
      </c>
      <c r="D35" s="526">
        <f t="shared" si="2"/>
        <v>1320</v>
      </c>
      <c r="E35" s="526">
        <f t="shared" si="3"/>
        <v>5280</v>
      </c>
      <c r="F35" s="526">
        <f t="shared" si="0"/>
        <v>6600</v>
      </c>
      <c r="G35" s="526">
        <f t="shared" si="1"/>
        <v>6600</v>
      </c>
      <c r="H35" s="526">
        <v>660</v>
      </c>
    </row>
    <row r="36" spans="2:8">
      <c r="B36" s="526">
        <v>196</v>
      </c>
      <c r="C36" s="526" t="s">
        <v>665</v>
      </c>
      <c r="D36" s="526">
        <f t="shared" si="2"/>
        <v>1140</v>
      </c>
      <c r="E36" s="526">
        <f t="shared" si="3"/>
        <v>4560</v>
      </c>
      <c r="F36" s="526">
        <f t="shared" si="0"/>
        <v>5700</v>
      </c>
      <c r="G36" s="526">
        <f t="shared" si="1"/>
        <v>5700</v>
      </c>
      <c r="H36" s="526">
        <v>570</v>
      </c>
    </row>
    <row r="37" spans="2:8">
      <c r="B37" s="526">
        <v>166</v>
      </c>
      <c r="C37" s="526" t="s">
        <v>666</v>
      </c>
      <c r="D37" s="526">
        <f t="shared" si="2"/>
        <v>960</v>
      </c>
      <c r="E37" s="526">
        <f t="shared" si="3"/>
        <v>3840</v>
      </c>
      <c r="F37" s="526">
        <f t="shared" si="0"/>
        <v>4800</v>
      </c>
      <c r="G37" s="526">
        <f t="shared" si="1"/>
        <v>4800</v>
      </c>
      <c r="H37" s="526">
        <v>480</v>
      </c>
    </row>
    <row r="38" spans="2:8">
      <c r="B38" s="526">
        <v>69</v>
      </c>
      <c r="C38" s="526" t="s">
        <v>667</v>
      </c>
      <c r="D38" s="526">
        <f t="shared" si="2"/>
        <v>390</v>
      </c>
      <c r="E38" s="526">
        <f t="shared" si="3"/>
        <v>1560</v>
      </c>
      <c r="F38" s="526">
        <f t="shared" si="0"/>
        <v>1950</v>
      </c>
      <c r="G38" s="526">
        <f t="shared" si="1"/>
        <v>1950</v>
      </c>
      <c r="H38" s="526">
        <v>195</v>
      </c>
    </row>
    <row r="39" spans="2:8">
      <c r="B39" s="526">
        <v>148</v>
      </c>
      <c r="C39" s="526" t="s">
        <v>668</v>
      </c>
      <c r="D39" s="526">
        <f t="shared" si="2"/>
        <v>850</v>
      </c>
      <c r="E39" s="526">
        <f t="shared" si="3"/>
        <v>3400</v>
      </c>
      <c r="F39" s="526">
        <f t="shared" si="0"/>
        <v>4250</v>
      </c>
      <c r="G39" s="526">
        <f t="shared" si="1"/>
        <v>4250</v>
      </c>
      <c r="H39" s="526">
        <v>425</v>
      </c>
    </row>
    <row r="40" spans="2:8">
      <c r="B40" s="526">
        <v>257</v>
      </c>
      <c r="C40" s="526" t="s">
        <v>669</v>
      </c>
      <c r="D40" s="526">
        <f t="shared" si="2"/>
        <v>1500</v>
      </c>
      <c r="E40" s="526">
        <f t="shared" si="3"/>
        <v>6000</v>
      </c>
      <c r="F40" s="526">
        <f t="shared" si="0"/>
        <v>7500</v>
      </c>
      <c r="G40" s="526">
        <f t="shared" si="1"/>
        <v>7500</v>
      </c>
      <c r="H40" s="526">
        <v>750</v>
      </c>
    </row>
    <row r="42" spans="2:8">
      <c r="B42" s="526">
        <f>INDEX(узлы,I20)</f>
        <v>61</v>
      </c>
    </row>
  </sheetData>
  <sheetProtection selectLockedCells="1"/>
  <mergeCells count="10">
    <mergeCell ref="B16:G16"/>
    <mergeCell ref="B17:G17"/>
    <mergeCell ref="B2:L2"/>
    <mergeCell ref="B8:C9"/>
    <mergeCell ref="D8:F9"/>
    <mergeCell ref="G8:G9"/>
    <mergeCell ref="H8:H9"/>
    <mergeCell ref="I8:J9"/>
    <mergeCell ref="K8:K9"/>
    <mergeCell ref="L8:L9"/>
  </mergeCells>
  <pageMargins left="0.7" right="0.7" top="0.75" bottom="0.75" header="0.3" footer="0.3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3968"/>
  <sheetViews>
    <sheetView showRuler="0" showWhiteSpace="0" topLeftCell="D1" zoomScaleSheetLayoutView="110" zoomScalePageLayoutView="90" workbookViewId="0">
      <selection activeCell="V45" sqref="V45:AB46"/>
    </sheetView>
  </sheetViews>
  <sheetFormatPr defaultColWidth="6.81640625" defaultRowHeight="11.25" customHeight="1"/>
  <cols>
    <col min="1" max="1" width="4.26953125" style="162" hidden="1" customWidth="1"/>
    <col min="2" max="3" width="3.36328125" style="162" hidden="1" customWidth="1"/>
    <col min="4" max="5" width="1.453125" style="162" customWidth="1"/>
    <col min="6" max="6" width="3.26953125" style="167" customWidth="1"/>
    <col min="7" max="7" width="13.7265625" style="167" customWidth="1"/>
    <col min="8" max="14" width="6.08984375" style="167" customWidth="1"/>
    <col min="15" max="15" width="6.08984375" style="232" customWidth="1"/>
    <col min="16" max="16" width="1.453125" style="167" customWidth="1"/>
    <col min="17" max="17" width="1.81640625" style="167" customWidth="1"/>
    <col min="18" max="18" width="3.54296875" style="167" customWidth="1"/>
    <col min="19" max="19" width="5.1796875" style="167" customWidth="1"/>
    <col min="20" max="20" width="5" style="167" customWidth="1"/>
    <col min="21" max="21" width="4.7265625" style="167" customWidth="1"/>
    <col min="22" max="22" width="5.90625" style="167" customWidth="1"/>
    <col min="23" max="25" width="4.7265625" style="167" customWidth="1"/>
    <col min="26" max="26" width="10.54296875" style="167" customWidth="1"/>
    <col min="27" max="31" width="4.7265625" style="167" customWidth="1"/>
    <col min="32" max="32" width="5" style="167" customWidth="1"/>
    <col min="33" max="256" width="6.81640625" style="167"/>
    <col min="257" max="259" width="0" style="167" hidden="1" customWidth="1"/>
    <col min="260" max="261" width="1.453125" style="167" customWidth="1"/>
    <col min="262" max="262" width="3.26953125" style="167" customWidth="1"/>
    <col min="263" max="263" width="13.7265625" style="167" customWidth="1"/>
    <col min="264" max="271" width="6.08984375" style="167" customWidth="1"/>
    <col min="272" max="272" width="1.453125" style="167" customWidth="1"/>
    <col min="273" max="273" width="1.81640625" style="167" customWidth="1"/>
    <col min="274" max="274" width="3.54296875" style="167" customWidth="1"/>
    <col min="275" max="275" width="5.1796875" style="167" customWidth="1"/>
    <col min="276" max="276" width="5" style="167" customWidth="1"/>
    <col min="277" max="277" width="4.7265625" style="167" customWidth="1"/>
    <col min="278" max="278" width="5.90625" style="167" customWidth="1"/>
    <col min="279" max="287" width="4.7265625" style="167" customWidth="1"/>
    <col min="288" max="288" width="5" style="167" customWidth="1"/>
    <col min="289" max="512" width="6.81640625" style="167"/>
    <col min="513" max="515" width="0" style="167" hidden="1" customWidth="1"/>
    <col min="516" max="517" width="1.453125" style="167" customWidth="1"/>
    <col min="518" max="518" width="3.26953125" style="167" customWidth="1"/>
    <col min="519" max="519" width="13.7265625" style="167" customWidth="1"/>
    <col min="520" max="527" width="6.08984375" style="167" customWidth="1"/>
    <col min="528" max="528" width="1.453125" style="167" customWidth="1"/>
    <col min="529" max="529" width="1.81640625" style="167" customWidth="1"/>
    <col min="530" max="530" width="3.54296875" style="167" customWidth="1"/>
    <col min="531" max="531" width="5.1796875" style="167" customWidth="1"/>
    <col min="532" max="532" width="5" style="167" customWidth="1"/>
    <col min="533" max="533" width="4.7265625" style="167" customWidth="1"/>
    <col min="534" max="534" width="5.90625" style="167" customWidth="1"/>
    <col min="535" max="543" width="4.7265625" style="167" customWidth="1"/>
    <col min="544" max="544" width="5" style="167" customWidth="1"/>
    <col min="545" max="768" width="6.81640625" style="167"/>
    <col min="769" max="771" width="0" style="167" hidden="1" customWidth="1"/>
    <col min="772" max="773" width="1.453125" style="167" customWidth="1"/>
    <col min="774" max="774" width="3.26953125" style="167" customWidth="1"/>
    <col min="775" max="775" width="13.7265625" style="167" customWidth="1"/>
    <col min="776" max="783" width="6.08984375" style="167" customWidth="1"/>
    <col min="784" max="784" width="1.453125" style="167" customWidth="1"/>
    <col min="785" max="785" width="1.81640625" style="167" customWidth="1"/>
    <col min="786" max="786" width="3.54296875" style="167" customWidth="1"/>
    <col min="787" max="787" width="5.1796875" style="167" customWidth="1"/>
    <col min="788" max="788" width="5" style="167" customWidth="1"/>
    <col min="789" max="789" width="4.7265625" style="167" customWidth="1"/>
    <col min="790" max="790" width="5.90625" style="167" customWidth="1"/>
    <col min="791" max="799" width="4.7265625" style="167" customWidth="1"/>
    <col min="800" max="800" width="5" style="167" customWidth="1"/>
    <col min="801" max="1024" width="6.81640625" style="167"/>
    <col min="1025" max="1027" width="0" style="167" hidden="1" customWidth="1"/>
    <col min="1028" max="1029" width="1.453125" style="167" customWidth="1"/>
    <col min="1030" max="1030" width="3.26953125" style="167" customWidth="1"/>
    <col min="1031" max="1031" width="13.7265625" style="167" customWidth="1"/>
    <col min="1032" max="1039" width="6.08984375" style="167" customWidth="1"/>
    <col min="1040" max="1040" width="1.453125" style="167" customWidth="1"/>
    <col min="1041" max="1041" width="1.81640625" style="167" customWidth="1"/>
    <col min="1042" max="1042" width="3.54296875" style="167" customWidth="1"/>
    <col min="1043" max="1043" width="5.1796875" style="167" customWidth="1"/>
    <col min="1044" max="1044" width="5" style="167" customWidth="1"/>
    <col min="1045" max="1045" width="4.7265625" style="167" customWidth="1"/>
    <col min="1046" max="1046" width="5.90625" style="167" customWidth="1"/>
    <col min="1047" max="1055" width="4.7265625" style="167" customWidth="1"/>
    <col min="1056" max="1056" width="5" style="167" customWidth="1"/>
    <col min="1057" max="1280" width="6.81640625" style="167"/>
    <col min="1281" max="1283" width="0" style="167" hidden="1" customWidth="1"/>
    <col min="1284" max="1285" width="1.453125" style="167" customWidth="1"/>
    <col min="1286" max="1286" width="3.26953125" style="167" customWidth="1"/>
    <col min="1287" max="1287" width="13.7265625" style="167" customWidth="1"/>
    <col min="1288" max="1295" width="6.08984375" style="167" customWidth="1"/>
    <col min="1296" max="1296" width="1.453125" style="167" customWidth="1"/>
    <col min="1297" max="1297" width="1.81640625" style="167" customWidth="1"/>
    <col min="1298" max="1298" width="3.54296875" style="167" customWidth="1"/>
    <col min="1299" max="1299" width="5.1796875" style="167" customWidth="1"/>
    <col min="1300" max="1300" width="5" style="167" customWidth="1"/>
    <col min="1301" max="1301" width="4.7265625" style="167" customWidth="1"/>
    <col min="1302" max="1302" width="5.90625" style="167" customWidth="1"/>
    <col min="1303" max="1311" width="4.7265625" style="167" customWidth="1"/>
    <col min="1312" max="1312" width="5" style="167" customWidth="1"/>
    <col min="1313" max="1536" width="6.81640625" style="167"/>
    <col min="1537" max="1539" width="0" style="167" hidden="1" customWidth="1"/>
    <col min="1540" max="1541" width="1.453125" style="167" customWidth="1"/>
    <col min="1542" max="1542" width="3.26953125" style="167" customWidth="1"/>
    <col min="1543" max="1543" width="13.7265625" style="167" customWidth="1"/>
    <col min="1544" max="1551" width="6.08984375" style="167" customWidth="1"/>
    <col min="1552" max="1552" width="1.453125" style="167" customWidth="1"/>
    <col min="1553" max="1553" width="1.81640625" style="167" customWidth="1"/>
    <col min="1554" max="1554" width="3.54296875" style="167" customWidth="1"/>
    <col min="1555" max="1555" width="5.1796875" style="167" customWidth="1"/>
    <col min="1556" max="1556" width="5" style="167" customWidth="1"/>
    <col min="1557" max="1557" width="4.7265625" style="167" customWidth="1"/>
    <col min="1558" max="1558" width="5.90625" style="167" customWidth="1"/>
    <col min="1559" max="1567" width="4.7265625" style="167" customWidth="1"/>
    <col min="1568" max="1568" width="5" style="167" customWidth="1"/>
    <col min="1569" max="1792" width="6.81640625" style="167"/>
    <col min="1793" max="1795" width="0" style="167" hidden="1" customWidth="1"/>
    <col min="1796" max="1797" width="1.453125" style="167" customWidth="1"/>
    <col min="1798" max="1798" width="3.26953125" style="167" customWidth="1"/>
    <col min="1799" max="1799" width="13.7265625" style="167" customWidth="1"/>
    <col min="1800" max="1807" width="6.08984375" style="167" customWidth="1"/>
    <col min="1808" max="1808" width="1.453125" style="167" customWidth="1"/>
    <col min="1809" max="1809" width="1.81640625" style="167" customWidth="1"/>
    <col min="1810" max="1810" width="3.54296875" style="167" customWidth="1"/>
    <col min="1811" max="1811" width="5.1796875" style="167" customWidth="1"/>
    <col min="1812" max="1812" width="5" style="167" customWidth="1"/>
    <col min="1813" max="1813" width="4.7265625" style="167" customWidth="1"/>
    <col min="1814" max="1814" width="5.90625" style="167" customWidth="1"/>
    <col min="1815" max="1823" width="4.7265625" style="167" customWidth="1"/>
    <col min="1824" max="1824" width="5" style="167" customWidth="1"/>
    <col min="1825" max="2048" width="6.81640625" style="167"/>
    <col min="2049" max="2051" width="0" style="167" hidden="1" customWidth="1"/>
    <col min="2052" max="2053" width="1.453125" style="167" customWidth="1"/>
    <col min="2054" max="2054" width="3.26953125" style="167" customWidth="1"/>
    <col min="2055" max="2055" width="13.7265625" style="167" customWidth="1"/>
    <col min="2056" max="2063" width="6.08984375" style="167" customWidth="1"/>
    <col min="2064" max="2064" width="1.453125" style="167" customWidth="1"/>
    <col min="2065" max="2065" width="1.81640625" style="167" customWidth="1"/>
    <col min="2066" max="2066" width="3.54296875" style="167" customWidth="1"/>
    <col min="2067" max="2067" width="5.1796875" style="167" customWidth="1"/>
    <col min="2068" max="2068" width="5" style="167" customWidth="1"/>
    <col min="2069" max="2069" width="4.7265625" style="167" customWidth="1"/>
    <col min="2070" max="2070" width="5.90625" style="167" customWidth="1"/>
    <col min="2071" max="2079" width="4.7265625" style="167" customWidth="1"/>
    <col min="2080" max="2080" width="5" style="167" customWidth="1"/>
    <col min="2081" max="2304" width="6.81640625" style="167"/>
    <col min="2305" max="2307" width="0" style="167" hidden="1" customWidth="1"/>
    <col min="2308" max="2309" width="1.453125" style="167" customWidth="1"/>
    <col min="2310" max="2310" width="3.26953125" style="167" customWidth="1"/>
    <col min="2311" max="2311" width="13.7265625" style="167" customWidth="1"/>
    <col min="2312" max="2319" width="6.08984375" style="167" customWidth="1"/>
    <col min="2320" max="2320" width="1.453125" style="167" customWidth="1"/>
    <col min="2321" max="2321" width="1.81640625" style="167" customWidth="1"/>
    <col min="2322" max="2322" width="3.54296875" style="167" customWidth="1"/>
    <col min="2323" max="2323" width="5.1796875" style="167" customWidth="1"/>
    <col min="2324" max="2324" width="5" style="167" customWidth="1"/>
    <col min="2325" max="2325" width="4.7265625" style="167" customWidth="1"/>
    <col min="2326" max="2326" width="5.90625" style="167" customWidth="1"/>
    <col min="2327" max="2335" width="4.7265625" style="167" customWidth="1"/>
    <col min="2336" max="2336" width="5" style="167" customWidth="1"/>
    <col min="2337" max="2560" width="6.81640625" style="167"/>
    <col min="2561" max="2563" width="0" style="167" hidden="1" customWidth="1"/>
    <col min="2564" max="2565" width="1.453125" style="167" customWidth="1"/>
    <col min="2566" max="2566" width="3.26953125" style="167" customWidth="1"/>
    <col min="2567" max="2567" width="13.7265625" style="167" customWidth="1"/>
    <col min="2568" max="2575" width="6.08984375" style="167" customWidth="1"/>
    <col min="2576" max="2576" width="1.453125" style="167" customWidth="1"/>
    <col min="2577" max="2577" width="1.81640625" style="167" customWidth="1"/>
    <col min="2578" max="2578" width="3.54296875" style="167" customWidth="1"/>
    <col min="2579" max="2579" width="5.1796875" style="167" customWidth="1"/>
    <col min="2580" max="2580" width="5" style="167" customWidth="1"/>
    <col min="2581" max="2581" width="4.7265625" style="167" customWidth="1"/>
    <col min="2582" max="2582" width="5.90625" style="167" customWidth="1"/>
    <col min="2583" max="2591" width="4.7265625" style="167" customWidth="1"/>
    <col min="2592" max="2592" width="5" style="167" customWidth="1"/>
    <col min="2593" max="2816" width="6.81640625" style="167"/>
    <col min="2817" max="2819" width="0" style="167" hidden="1" customWidth="1"/>
    <col min="2820" max="2821" width="1.453125" style="167" customWidth="1"/>
    <col min="2822" max="2822" width="3.26953125" style="167" customWidth="1"/>
    <col min="2823" max="2823" width="13.7265625" style="167" customWidth="1"/>
    <col min="2824" max="2831" width="6.08984375" style="167" customWidth="1"/>
    <col min="2832" max="2832" width="1.453125" style="167" customWidth="1"/>
    <col min="2833" max="2833" width="1.81640625" style="167" customWidth="1"/>
    <col min="2834" max="2834" width="3.54296875" style="167" customWidth="1"/>
    <col min="2835" max="2835" width="5.1796875" style="167" customWidth="1"/>
    <col min="2836" max="2836" width="5" style="167" customWidth="1"/>
    <col min="2837" max="2837" width="4.7265625" style="167" customWidth="1"/>
    <col min="2838" max="2838" width="5.90625" style="167" customWidth="1"/>
    <col min="2839" max="2847" width="4.7265625" style="167" customWidth="1"/>
    <col min="2848" max="2848" width="5" style="167" customWidth="1"/>
    <col min="2849" max="3072" width="6.81640625" style="167"/>
    <col min="3073" max="3075" width="0" style="167" hidden="1" customWidth="1"/>
    <col min="3076" max="3077" width="1.453125" style="167" customWidth="1"/>
    <col min="3078" max="3078" width="3.26953125" style="167" customWidth="1"/>
    <col min="3079" max="3079" width="13.7265625" style="167" customWidth="1"/>
    <col min="3080" max="3087" width="6.08984375" style="167" customWidth="1"/>
    <col min="3088" max="3088" width="1.453125" style="167" customWidth="1"/>
    <col min="3089" max="3089" width="1.81640625" style="167" customWidth="1"/>
    <col min="3090" max="3090" width="3.54296875" style="167" customWidth="1"/>
    <col min="3091" max="3091" width="5.1796875" style="167" customWidth="1"/>
    <col min="3092" max="3092" width="5" style="167" customWidth="1"/>
    <col min="3093" max="3093" width="4.7265625" style="167" customWidth="1"/>
    <col min="3094" max="3094" width="5.90625" style="167" customWidth="1"/>
    <col min="3095" max="3103" width="4.7265625" style="167" customWidth="1"/>
    <col min="3104" max="3104" width="5" style="167" customWidth="1"/>
    <col min="3105" max="3328" width="6.81640625" style="167"/>
    <col min="3329" max="3331" width="0" style="167" hidden="1" customWidth="1"/>
    <col min="3332" max="3333" width="1.453125" style="167" customWidth="1"/>
    <col min="3334" max="3334" width="3.26953125" style="167" customWidth="1"/>
    <col min="3335" max="3335" width="13.7265625" style="167" customWidth="1"/>
    <col min="3336" max="3343" width="6.08984375" style="167" customWidth="1"/>
    <col min="3344" max="3344" width="1.453125" style="167" customWidth="1"/>
    <col min="3345" max="3345" width="1.81640625" style="167" customWidth="1"/>
    <col min="3346" max="3346" width="3.54296875" style="167" customWidth="1"/>
    <col min="3347" max="3347" width="5.1796875" style="167" customWidth="1"/>
    <col min="3348" max="3348" width="5" style="167" customWidth="1"/>
    <col min="3349" max="3349" width="4.7265625" style="167" customWidth="1"/>
    <col min="3350" max="3350" width="5.90625" style="167" customWidth="1"/>
    <col min="3351" max="3359" width="4.7265625" style="167" customWidth="1"/>
    <col min="3360" max="3360" width="5" style="167" customWidth="1"/>
    <col min="3361" max="3584" width="6.81640625" style="167"/>
    <col min="3585" max="3587" width="0" style="167" hidden="1" customWidth="1"/>
    <col min="3588" max="3589" width="1.453125" style="167" customWidth="1"/>
    <col min="3590" max="3590" width="3.26953125" style="167" customWidth="1"/>
    <col min="3591" max="3591" width="13.7265625" style="167" customWidth="1"/>
    <col min="3592" max="3599" width="6.08984375" style="167" customWidth="1"/>
    <col min="3600" max="3600" width="1.453125" style="167" customWidth="1"/>
    <col min="3601" max="3601" width="1.81640625" style="167" customWidth="1"/>
    <col min="3602" max="3602" width="3.54296875" style="167" customWidth="1"/>
    <col min="3603" max="3603" width="5.1796875" style="167" customWidth="1"/>
    <col min="3604" max="3604" width="5" style="167" customWidth="1"/>
    <col min="3605" max="3605" width="4.7265625" style="167" customWidth="1"/>
    <col min="3606" max="3606" width="5.90625" style="167" customWidth="1"/>
    <col min="3607" max="3615" width="4.7265625" style="167" customWidth="1"/>
    <col min="3616" max="3616" width="5" style="167" customWidth="1"/>
    <col min="3617" max="3840" width="6.81640625" style="167"/>
    <col min="3841" max="3843" width="0" style="167" hidden="1" customWidth="1"/>
    <col min="3844" max="3845" width="1.453125" style="167" customWidth="1"/>
    <col min="3846" max="3846" width="3.26953125" style="167" customWidth="1"/>
    <col min="3847" max="3847" width="13.7265625" style="167" customWidth="1"/>
    <col min="3848" max="3855" width="6.08984375" style="167" customWidth="1"/>
    <col min="3856" max="3856" width="1.453125" style="167" customWidth="1"/>
    <col min="3857" max="3857" width="1.81640625" style="167" customWidth="1"/>
    <col min="3858" max="3858" width="3.54296875" style="167" customWidth="1"/>
    <col min="3859" max="3859" width="5.1796875" style="167" customWidth="1"/>
    <col min="3860" max="3860" width="5" style="167" customWidth="1"/>
    <col min="3861" max="3861" width="4.7265625" style="167" customWidth="1"/>
    <col min="3862" max="3862" width="5.90625" style="167" customWidth="1"/>
    <col min="3863" max="3871" width="4.7265625" style="167" customWidth="1"/>
    <col min="3872" max="3872" width="5" style="167" customWidth="1"/>
    <col min="3873" max="4096" width="6.81640625" style="167"/>
    <col min="4097" max="4099" width="0" style="167" hidden="1" customWidth="1"/>
    <col min="4100" max="4101" width="1.453125" style="167" customWidth="1"/>
    <col min="4102" max="4102" width="3.26953125" style="167" customWidth="1"/>
    <col min="4103" max="4103" width="13.7265625" style="167" customWidth="1"/>
    <col min="4104" max="4111" width="6.08984375" style="167" customWidth="1"/>
    <col min="4112" max="4112" width="1.453125" style="167" customWidth="1"/>
    <col min="4113" max="4113" width="1.81640625" style="167" customWidth="1"/>
    <col min="4114" max="4114" width="3.54296875" style="167" customWidth="1"/>
    <col min="4115" max="4115" width="5.1796875" style="167" customWidth="1"/>
    <col min="4116" max="4116" width="5" style="167" customWidth="1"/>
    <col min="4117" max="4117" width="4.7265625" style="167" customWidth="1"/>
    <col min="4118" max="4118" width="5.90625" style="167" customWidth="1"/>
    <col min="4119" max="4127" width="4.7265625" style="167" customWidth="1"/>
    <col min="4128" max="4128" width="5" style="167" customWidth="1"/>
    <col min="4129" max="4352" width="6.81640625" style="167"/>
    <col min="4353" max="4355" width="0" style="167" hidden="1" customWidth="1"/>
    <col min="4356" max="4357" width="1.453125" style="167" customWidth="1"/>
    <col min="4358" max="4358" width="3.26953125" style="167" customWidth="1"/>
    <col min="4359" max="4359" width="13.7265625" style="167" customWidth="1"/>
    <col min="4360" max="4367" width="6.08984375" style="167" customWidth="1"/>
    <col min="4368" max="4368" width="1.453125" style="167" customWidth="1"/>
    <col min="4369" max="4369" width="1.81640625" style="167" customWidth="1"/>
    <col min="4370" max="4370" width="3.54296875" style="167" customWidth="1"/>
    <col min="4371" max="4371" width="5.1796875" style="167" customWidth="1"/>
    <col min="4372" max="4372" width="5" style="167" customWidth="1"/>
    <col min="4373" max="4373" width="4.7265625" style="167" customWidth="1"/>
    <col min="4374" max="4374" width="5.90625" style="167" customWidth="1"/>
    <col min="4375" max="4383" width="4.7265625" style="167" customWidth="1"/>
    <col min="4384" max="4384" width="5" style="167" customWidth="1"/>
    <col min="4385" max="4608" width="6.81640625" style="167"/>
    <col min="4609" max="4611" width="0" style="167" hidden="1" customWidth="1"/>
    <col min="4612" max="4613" width="1.453125" style="167" customWidth="1"/>
    <col min="4614" max="4614" width="3.26953125" style="167" customWidth="1"/>
    <col min="4615" max="4615" width="13.7265625" style="167" customWidth="1"/>
    <col min="4616" max="4623" width="6.08984375" style="167" customWidth="1"/>
    <col min="4624" max="4624" width="1.453125" style="167" customWidth="1"/>
    <col min="4625" max="4625" width="1.81640625" style="167" customWidth="1"/>
    <col min="4626" max="4626" width="3.54296875" style="167" customWidth="1"/>
    <col min="4627" max="4627" width="5.1796875" style="167" customWidth="1"/>
    <col min="4628" max="4628" width="5" style="167" customWidth="1"/>
    <col min="4629" max="4629" width="4.7265625" style="167" customWidth="1"/>
    <col min="4630" max="4630" width="5.90625" style="167" customWidth="1"/>
    <col min="4631" max="4639" width="4.7265625" style="167" customWidth="1"/>
    <col min="4640" max="4640" width="5" style="167" customWidth="1"/>
    <col min="4641" max="4864" width="6.81640625" style="167"/>
    <col min="4865" max="4867" width="0" style="167" hidden="1" customWidth="1"/>
    <col min="4868" max="4869" width="1.453125" style="167" customWidth="1"/>
    <col min="4870" max="4870" width="3.26953125" style="167" customWidth="1"/>
    <col min="4871" max="4871" width="13.7265625" style="167" customWidth="1"/>
    <col min="4872" max="4879" width="6.08984375" style="167" customWidth="1"/>
    <col min="4880" max="4880" width="1.453125" style="167" customWidth="1"/>
    <col min="4881" max="4881" width="1.81640625" style="167" customWidth="1"/>
    <col min="4882" max="4882" width="3.54296875" style="167" customWidth="1"/>
    <col min="4883" max="4883" width="5.1796875" style="167" customWidth="1"/>
    <col min="4884" max="4884" width="5" style="167" customWidth="1"/>
    <col min="4885" max="4885" width="4.7265625" style="167" customWidth="1"/>
    <col min="4886" max="4886" width="5.90625" style="167" customWidth="1"/>
    <col min="4887" max="4895" width="4.7265625" style="167" customWidth="1"/>
    <col min="4896" max="4896" width="5" style="167" customWidth="1"/>
    <col min="4897" max="5120" width="6.81640625" style="167"/>
    <col min="5121" max="5123" width="0" style="167" hidden="1" customWidth="1"/>
    <col min="5124" max="5125" width="1.453125" style="167" customWidth="1"/>
    <col min="5126" max="5126" width="3.26953125" style="167" customWidth="1"/>
    <col min="5127" max="5127" width="13.7265625" style="167" customWidth="1"/>
    <col min="5128" max="5135" width="6.08984375" style="167" customWidth="1"/>
    <col min="5136" max="5136" width="1.453125" style="167" customWidth="1"/>
    <col min="5137" max="5137" width="1.81640625" style="167" customWidth="1"/>
    <col min="5138" max="5138" width="3.54296875" style="167" customWidth="1"/>
    <col min="5139" max="5139" width="5.1796875" style="167" customWidth="1"/>
    <col min="5140" max="5140" width="5" style="167" customWidth="1"/>
    <col min="5141" max="5141" width="4.7265625" style="167" customWidth="1"/>
    <col min="5142" max="5142" width="5.90625" style="167" customWidth="1"/>
    <col min="5143" max="5151" width="4.7265625" style="167" customWidth="1"/>
    <col min="5152" max="5152" width="5" style="167" customWidth="1"/>
    <col min="5153" max="5376" width="6.81640625" style="167"/>
    <col min="5377" max="5379" width="0" style="167" hidden="1" customWidth="1"/>
    <col min="5380" max="5381" width="1.453125" style="167" customWidth="1"/>
    <col min="5382" max="5382" width="3.26953125" style="167" customWidth="1"/>
    <col min="5383" max="5383" width="13.7265625" style="167" customWidth="1"/>
    <col min="5384" max="5391" width="6.08984375" style="167" customWidth="1"/>
    <col min="5392" max="5392" width="1.453125" style="167" customWidth="1"/>
    <col min="5393" max="5393" width="1.81640625" style="167" customWidth="1"/>
    <col min="5394" max="5394" width="3.54296875" style="167" customWidth="1"/>
    <col min="5395" max="5395" width="5.1796875" style="167" customWidth="1"/>
    <col min="5396" max="5396" width="5" style="167" customWidth="1"/>
    <col min="5397" max="5397" width="4.7265625" style="167" customWidth="1"/>
    <col min="5398" max="5398" width="5.90625" style="167" customWidth="1"/>
    <col min="5399" max="5407" width="4.7265625" style="167" customWidth="1"/>
    <col min="5408" max="5408" width="5" style="167" customWidth="1"/>
    <col min="5409" max="5632" width="6.81640625" style="167"/>
    <col min="5633" max="5635" width="0" style="167" hidden="1" customWidth="1"/>
    <col min="5636" max="5637" width="1.453125" style="167" customWidth="1"/>
    <col min="5638" max="5638" width="3.26953125" style="167" customWidth="1"/>
    <col min="5639" max="5639" width="13.7265625" style="167" customWidth="1"/>
    <col min="5640" max="5647" width="6.08984375" style="167" customWidth="1"/>
    <col min="5648" max="5648" width="1.453125" style="167" customWidth="1"/>
    <col min="5649" max="5649" width="1.81640625" style="167" customWidth="1"/>
    <col min="5650" max="5650" width="3.54296875" style="167" customWidth="1"/>
    <col min="5651" max="5651" width="5.1796875" style="167" customWidth="1"/>
    <col min="5652" max="5652" width="5" style="167" customWidth="1"/>
    <col min="5653" max="5653" width="4.7265625" style="167" customWidth="1"/>
    <col min="5654" max="5654" width="5.90625" style="167" customWidth="1"/>
    <col min="5655" max="5663" width="4.7265625" style="167" customWidth="1"/>
    <col min="5664" max="5664" width="5" style="167" customWidth="1"/>
    <col min="5665" max="5888" width="6.81640625" style="167"/>
    <col min="5889" max="5891" width="0" style="167" hidden="1" customWidth="1"/>
    <col min="5892" max="5893" width="1.453125" style="167" customWidth="1"/>
    <col min="5894" max="5894" width="3.26953125" style="167" customWidth="1"/>
    <col min="5895" max="5895" width="13.7265625" style="167" customWidth="1"/>
    <col min="5896" max="5903" width="6.08984375" style="167" customWidth="1"/>
    <col min="5904" max="5904" width="1.453125" style="167" customWidth="1"/>
    <col min="5905" max="5905" width="1.81640625" style="167" customWidth="1"/>
    <col min="5906" max="5906" width="3.54296875" style="167" customWidth="1"/>
    <col min="5907" max="5907" width="5.1796875" style="167" customWidth="1"/>
    <col min="5908" max="5908" width="5" style="167" customWidth="1"/>
    <col min="5909" max="5909" width="4.7265625" style="167" customWidth="1"/>
    <col min="5910" max="5910" width="5.90625" style="167" customWidth="1"/>
    <col min="5911" max="5919" width="4.7265625" style="167" customWidth="1"/>
    <col min="5920" max="5920" width="5" style="167" customWidth="1"/>
    <col min="5921" max="6144" width="6.81640625" style="167"/>
    <col min="6145" max="6147" width="0" style="167" hidden="1" customWidth="1"/>
    <col min="6148" max="6149" width="1.453125" style="167" customWidth="1"/>
    <col min="6150" max="6150" width="3.26953125" style="167" customWidth="1"/>
    <col min="6151" max="6151" width="13.7265625" style="167" customWidth="1"/>
    <col min="6152" max="6159" width="6.08984375" style="167" customWidth="1"/>
    <col min="6160" max="6160" width="1.453125" style="167" customWidth="1"/>
    <col min="6161" max="6161" width="1.81640625" style="167" customWidth="1"/>
    <col min="6162" max="6162" width="3.54296875" style="167" customWidth="1"/>
    <col min="6163" max="6163" width="5.1796875" style="167" customWidth="1"/>
    <col min="6164" max="6164" width="5" style="167" customWidth="1"/>
    <col min="6165" max="6165" width="4.7265625" style="167" customWidth="1"/>
    <col min="6166" max="6166" width="5.90625" style="167" customWidth="1"/>
    <col min="6167" max="6175" width="4.7265625" style="167" customWidth="1"/>
    <col min="6176" max="6176" width="5" style="167" customWidth="1"/>
    <col min="6177" max="6400" width="6.81640625" style="167"/>
    <col min="6401" max="6403" width="0" style="167" hidden="1" customWidth="1"/>
    <col min="6404" max="6405" width="1.453125" style="167" customWidth="1"/>
    <col min="6406" max="6406" width="3.26953125" style="167" customWidth="1"/>
    <col min="6407" max="6407" width="13.7265625" style="167" customWidth="1"/>
    <col min="6408" max="6415" width="6.08984375" style="167" customWidth="1"/>
    <col min="6416" max="6416" width="1.453125" style="167" customWidth="1"/>
    <col min="6417" max="6417" width="1.81640625" style="167" customWidth="1"/>
    <col min="6418" max="6418" width="3.54296875" style="167" customWidth="1"/>
    <col min="6419" max="6419" width="5.1796875" style="167" customWidth="1"/>
    <col min="6420" max="6420" width="5" style="167" customWidth="1"/>
    <col min="6421" max="6421" width="4.7265625" style="167" customWidth="1"/>
    <col min="6422" max="6422" width="5.90625" style="167" customWidth="1"/>
    <col min="6423" max="6431" width="4.7265625" style="167" customWidth="1"/>
    <col min="6432" max="6432" width="5" style="167" customWidth="1"/>
    <col min="6433" max="6656" width="6.81640625" style="167"/>
    <col min="6657" max="6659" width="0" style="167" hidden="1" customWidth="1"/>
    <col min="6660" max="6661" width="1.453125" style="167" customWidth="1"/>
    <col min="6662" max="6662" width="3.26953125" style="167" customWidth="1"/>
    <col min="6663" max="6663" width="13.7265625" style="167" customWidth="1"/>
    <col min="6664" max="6671" width="6.08984375" style="167" customWidth="1"/>
    <col min="6672" max="6672" width="1.453125" style="167" customWidth="1"/>
    <col min="6673" max="6673" width="1.81640625" style="167" customWidth="1"/>
    <col min="6674" max="6674" width="3.54296875" style="167" customWidth="1"/>
    <col min="6675" max="6675" width="5.1796875" style="167" customWidth="1"/>
    <col min="6676" max="6676" width="5" style="167" customWidth="1"/>
    <col min="6677" max="6677" width="4.7265625" style="167" customWidth="1"/>
    <col min="6678" max="6678" width="5.90625" style="167" customWidth="1"/>
    <col min="6679" max="6687" width="4.7265625" style="167" customWidth="1"/>
    <col min="6688" max="6688" width="5" style="167" customWidth="1"/>
    <col min="6689" max="6912" width="6.81640625" style="167"/>
    <col min="6913" max="6915" width="0" style="167" hidden="1" customWidth="1"/>
    <col min="6916" max="6917" width="1.453125" style="167" customWidth="1"/>
    <col min="6918" max="6918" width="3.26953125" style="167" customWidth="1"/>
    <col min="6919" max="6919" width="13.7265625" style="167" customWidth="1"/>
    <col min="6920" max="6927" width="6.08984375" style="167" customWidth="1"/>
    <col min="6928" max="6928" width="1.453125" style="167" customWidth="1"/>
    <col min="6929" max="6929" width="1.81640625" style="167" customWidth="1"/>
    <col min="6930" max="6930" width="3.54296875" style="167" customWidth="1"/>
    <col min="6931" max="6931" width="5.1796875" style="167" customWidth="1"/>
    <col min="6932" max="6932" width="5" style="167" customWidth="1"/>
    <col min="6933" max="6933" width="4.7265625" style="167" customWidth="1"/>
    <col min="6934" max="6934" width="5.90625" style="167" customWidth="1"/>
    <col min="6935" max="6943" width="4.7265625" style="167" customWidth="1"/>
    <col min="6944" max="6944" width="5" style="167" customWidth="1"/>
    <col min="6945" max="7168" width="6.81640625" style="167"/>
    <col min="7169" max="7171" width="0" style="167" hidden="1" customWidth="1"/>
    <col min="7172" max="7173" width="1.453125" style="167" customWidth="1"/>
    <col min="7174" max="7174" width="3.26953125" style="167" customWidth="1"/>
    <col min="7175" max="7175" width="13.7265625" style="167" customWidth="1"/>
    <col min="7176" max="7183" width="6.08984375" style="167" customWidth="1"/>
    <col min="7184" max="7184" width="1.453125" style="167" customWidth="1"/>
    <col min="7185" max="7185" width="1.81640625" style="167" customWidth="1"/>
    <col min="7186" max="7186" width="3.54296875" style="167" customWidth="1"/>
    <col min="7187" max="7187" width="5.1796875" style="167" customWidth="1"/>
    <col min="7188" max="7188" width="5" style="167" customWidth="1"/>
    <col min="7189" max="7189" width="4.7265625" style="167" customWidth="1"/>
    <col min="7190" max="7190" width="5.90625" style="167" customWidth="1"/>
    <col min="7191" max="7199" width="4.7265625" style="167" customWidth="1"/>
    <col min="7200" max="7200" width="5" style="167" customWidth="1"/>
    <col min="7201" max="7424" width="6.81640625" style="167"/>
    <col min="7425" max="7427" width="0" style="167" hidden="1" customWidth="1"/>
    <col min="7428" max="7429" width="1.453125" style="167" customWidth="1"/>
    <col min="7430" max="7430" width="3.26953125" style="167" customWidth="1"/>
    <col min="7431" max="7431" width="13.7265625" style="167" customWidth="1"/>
    <col min="7432" max="7439" width="6.08984375" style="167" customWidth="1"/>
    <col min="7440" max="7440" width="1.453125" style="167" customWidth="1"/>
    <col min="7441" max="7441" width="1.81640625" style="167" customWidth="1"/>
    <col min="7442" max="7442" width="3.54296875" style="167" customWidth="1"/>
    <col min="7443" max="7443" width="5.1796875" style="167" customWidth="1"/>
    <col min="7444" max="7444" width="5" style="167" customWidth="1"/>
    <col min="7445" max="7445" width="4.7265625" style="167" customWidth="1"/>
    <col min="7446" max="7446" width="5.90625" style="167" customWidth="1"/>
    <col min="7447" max="7455" width="4.7265625" style="167" customWidth="1"/>
    <col min="7456" max="7456" width="5" style="167" customWidth="1"/>
    <col min="7457" max="7680" width="6.81640625" style="167"/>
    <col min="7681" max="7683" width="0" style="167" hidden="1" customWidth="1"/>
    <col min="7684" max="7685" width="1.453125" style="167" customWidth="1"/>
    <col min="7686" max="7686" width="3.26953125" style="167" customWidth="1"/>
    <col min="7687" max="7687" width="13.7265625" style="167" customWidth="1"/>
    <col min="7688" max="7695" width="6.08984375" style="167" customWidth="1"/>
    <col min="7696" max="7696" width="1.453125" style="167" customWidth="1"/>
    <col min="7697" max="7697" width="1.81640625" style="167" customWidth="1"/>
    <col min="7698" max="7698" width="3.54296875" style="167" customWidth="1"/>
    <col min="7699" max="7699" width="5.1796875" style="167" customWidth="1"/>
    <col min="7700" max="7700" width="5" style="167" customWidth="1"/>
    <col min="7701" max="7701" width="4.7265625" style="167" customWidth="1"/>
    <col min="7702" max="7702" width="5.90625" style="167" customWidth="1"/>
    <col min="7703" max="7711" width="4.7265625" style="167" customWidth="1"/>
    <col min="7712" max="7712" width="5" style="167" customWidth="1"/>
    <col min="7713" max="7936" width="6.81640625" style="167"/>
    <col min="7937" max="7939" width="0" style="167" hidden="1" customWidth="1"/>
    <col min="7940" max="7941" width="1.453125" style="167" customWidth="1"/>
    <col min="7942" max="7942" width="3.26953125" style="167" customWidth="1"/>
    <col min="7943" max="7943" width="13.7265625" style="167" customWidth="1"/>
    <col min="7944" max="7951" width="6.08984375" style="167" customWidth="1"/>
    <col min="7952" max="7952" width="1.453125" style="167" customWidth="1"/>
    <col min="7953" max="7953" width="1.81640625" style="167" customWidth="1"/>
    <col min="7954" max="7954" width="3.54296875" style="167" customWidth="1"/>
    <col min="7955" max="7955" width="5.1796875" style="167" customWidth="1"/>
    <col min="7956" max="7956" width="5" style="167" customWidth="1"/>
    <col min="7957" max="7957" width="4.7265625" style="167" customWidth="1"/>
    <col min="7958" max="7958" width="5.90625" style="167" customWidth="1"/>
    <col min="7959" max="7967" width="4.7265625" style="167" customWidth="1"/>
    <col min="7968" max="7968" width="5" style="167" customWidth="1"/>
    <col min="7969" max="8192" width="6.81640625" style="167"/>
    <col min="8193" max="8195" width="0" style="167" hidden="1" customWidth="1"/>
    <col min="8196" max="8197" width="1.453125" style="167" customWidth="1"/>
    <col min="8198" max="8198" width="3.26953125" style="167" customWidth="1"/>
    <col min="8199" max="8199" width="13.7265625" style="167" customWidth="1"/>
    <col min="8200" max="8207" width="6.08984375" style="167" customWidth="1"/>
    <col min="8208" max="8208" width="1.453125" style="167" customWidth="1"/>
    <col min="8209" max="8209" width="1.81640625" style="167" customWidth="1"/>
    <col min="8210" max="8210" width="3.54296875" style="167" customWidth="1"/>
    <col min="8211" max="8211" width="5.1796875" style="167" customWidth="1"/>
    <col min="8212" max="8212" width="5" style="167" customWidth="1"/>
    <col min="8213" max="8213" width="4.7265625" style="167" customWidth="1"/>
    <col min="8214" max="8214" width="5.90625" style="167" customWidth="1"/>
    <col min="8215" max="8223" width="4.7265625" style="167" customWidth="1"/>
    <col min="8224" max="8224" width="5" style="167" customWidth="1"/>
    <col min="8225" max="8448" width="6.81640625" style="167"/>
    <col min="8449" max="8451" width="0" style="167" hidden="1" customWidth="1"/>
    <col min="8452" max="8453" width="1.453125" style="167" customWidth="1"/>
    <col min="8454" max="8454" width="3.26953125" style="167" customWidth="1"/>
    <col min="8455" max="8455" width="13.7265625" style="167" customWidth="1"/>
    <col min="8456" max="8463" width="6.08984375" style="167" customWidth="1"/>
    <col min="8464" max="8464" width="1.453125" style="167" customWidth="1"/>
    <col min="8465" max="8465" width="1.81640625" style="167" customWidth="1"/>
    <col min="8466" max="8466" width="3.54296875" style="167" customWidth="1"/>
    <col min="8467" max="8467" width="5.1796875" style="167" customWidth="1"/>
    <col min="8468" max="8468" width="5" style="167" customWidth="1"/>
    <col min="8469" max="8469" width="4.7265625" style="167" customWidth="1"/>
    <col min="8470" max="8470" width="5.90625" style="167" customWidth="1"/>
    <col min="8471" max="8479" width="4.7265625" style="167" customWidth="1"/>
    <col min="8480" max="8480" width="5" style="167" customWidth="1"/>
    <col min="8481" max="8704" width="6.81640625" style="167"/>
    <col min="8705" max="8707" width="0" style="167" hidden="1" customWidth="1"/>
    <col min="8708" max="8709" width="1.453125" style="167" customWidth="1"/>
    <col min="8710" max="8710" width="3.26953125" style="167" customWidth="1"/>
    <col min="8711" max="8711" width="13.7265625" style="167" customWidth="1"/>
    <col min="8712" max="8719" width="6.08984375" style="167" customWidth="1"/>
    <col min="8720" max="8720" width="1.453125" style="167" customWidth="1"/>
    <col min="8721" max="8721" width="1.81640625" style="167" customWidth="1"/>
    <col min="8722" max="8722" width="3.54296875" style="167" customWidth="1"/>
    <col min="8723" max="8723" width="5.1796875" style="167" customWidth="1"/>
    <col min="8724" max="8724" width="5" style="167" customWidth="1"/>
    <col min="8725" max="8725" width="4.7265625" style="167" customWidth="1"/>
    <col min="8726" max="8726" width="5.90625" style="167" customWidth="1"/>
    <col min="8727" max="8735" width="4.7265625" style="167" customWidth="1"/>
    <col min="8736" max="8736" width="5" style="167" customWidth="1"/>
    <col min="8737" max="8960" width="6.81640625" style="167"/>
    <col min="8961" max="8963" width="0" style="167" hidden="1" customWidth="1"/>
    <col min="8964" max="8965" width="1.453125" style="167" customWidth="1"/>
    <col min="8966" max="8966" width="3.26953125" style="167" customWidth="1"/>
    <col min="8967" max="8967" width="13.7265625" style="167" customWidth="1"/>
    <col min="8968" max="8975" width="6.08984375" style="167" customWidth="1"/>
    <col min="8976" max="8976" width="1.453125" style="167" customWidth="1"/>
    <col min="8977" max="8977" width="1.81640625" style="167" customWidth="1"/>
    <col min="8978" max="8978" width="3.54296875" style="167" customWidth="1"/>
    <col min="8979" max="8979" width="5.1796875" style="167" customWidth="1"/>
    <col min="8980" max="8980" width="5" style="167" customWidth="1"/>
    <col min="8981" max="8981" width="4.7265625" style="167" customWidth="1"/>
    <col min="8982" max="8982" width="5.90625" style="167" customWidth="1"/>
    <col min="8983" max="8991" width="4.7265625" style="167" customWidth="1"/>
    <col min="8992" max="8992" width="5" style="167" customWidth="1"/>
    <col min="8993" max="9216" width="6.81640625" style="167"/>
    <col min="9217" max="9219" width="0" style="167" hidden="1" customWidth="1"/>
    <col min="9220" max="9221" width="1.453125" style="167" customWidth="1"/>
    <col min="9222" max="9222" width="3.26953125" style="167" customWidth="1"/>
    <col min="9223" max="9223" width="13.7265625" style="167" customWidth="1"/>
    <col min="9224" max="9231" width="6.08984375" style="167" customWidth="1"/>
    <col min="9232" max="9232" width="1.453125" style="167" customWidth="1"/>
    <col min="9233" max="9233" width="1.81640625" style="167" customWidth="1"/>
    <col min="9234" max="9234" width="3.54296875" style="167" customWidth="1"/>
    <col min="9235" max="9235" width="5.1796875" style="167" customWidth="1"/>
    <col min="9236" max="9236" width="5" style="167" customWidth="1"/>
    <col min="9237" max="9237" width="4.7265625" style="167" customWidth="1"/>
    <col min="9238" max="9238" width="5.90625" style="167" customWidth="1"/>
    <col min="9239" max="9247" width="4.7265625" style="167" customWidth="1"/>
    <col min="9248" max="9248" width="5" style="167" customWidth="1"/>
    <col min="9249" max="9472" width="6.81640625" style="167"/>
    <col min="9473" max="9475" width="0" style="167" hidden="1" customWidth="1"/>
    <col min="9476" max="9477" width="1.453125" style="167" customWidth="1"/>
    <col min="9478" max="9478" width="3.26953125" style="167" customWidth="1"/>
    <col min="9479" max="9479" width="13.7265625" style="167" customWidth="1"/>
    <col min="9480" max="9487" width="6.08984375" style="167" customWidth="1"/>
    <col min="9488" max="9488" width="1.453125" style="167" customWidth="1"/>
    <col min="9489" max="9489" width="1.81640625" style="167" customWidth="1"/>
    <col min="9490" max="9490" width="3.54296875" style="167" customWidth="1"/>
    <col min="9491" max="9491" width="5.1796875" style="167" customWidth="1"/>
    <col min="9492" max="9492" width="5" style="167" customWidth="1"/>
    <col min="9493" max="9493" width="4.7265625" style="167" customWidth="1"/>
    <col min="9494" max="9494" width="5.90625" style="167" customWidth="1"/>
    <col min="9495" max="9503" width="4.7265625" style="167" customWidth="1"/>
    <col min="9504" max="9504" width="5" style="167" customWidth="1"/>
    <col min="9505" max="9728" width="6.81640625" style="167"/>
    <col min="9729" max="9731" width="0" style="167" hidden="1" customWidth="1"/>
    <col min="9732" max="9733" width="1.453125" style="167" customWidth="1"/>
    <col min="9734" max="9734" width="3.26953125" style="167" customWidth="1"/>
    <col min="9735" max="9735" width="13.7265625" style="167" customWidth="1"/>
    <col min="9736" max="9743" width="6.08984375" style="167" customWidth="1"/>
    <col min="9744" max="9744" width="1.453125" style="167" customWidth="1"/>
    <col min="9745" max="9745" width="1.81640625" style="167" customWidth="1"/>
    <col min="9746" max="9746" width="3.54296875" style="167" customWidth="1"/>
    <col min="9747" max="9747" width="5.1796875" style="167" customWidth="1"/>
    <col min="9748" max="9748" width="5" style="167" customWidth="1"/>
    <col min="9749" max="9749" width="4.7265625" style="167" customWidth="1"/>
    <col min="9750" max="9750" width="5.90625" style="167" customWidth="1"/>
    <col min="9751" max="9759" width="4.7265625" style="167" customWidth="1"/>
    <col min="9760" max="9760" width="5" style="167" customWidth="1"/>
    <col min="9761" max="9984" width="6.81640625" style="167"/>
    <col min="9985" max="9987" width="0" style="167" hidden="1" customWidth="1"/>
    <col min="9988" max="9989" width="1.453125" style="167" customWidth="1"/>
    <col min="9990" max="9990" width="3.26953125" style="167" customWidth="1"/>
    <col min="9991" max="9991" width="13.7265625" style="167" customWidth="1"/>
    <col min="9992" max="9999" width="6.08984375" style="167" customWidth="1"/>
    <col min="10000" max="10000" width="1.453125" style="167" customWidth="1"/>
    <col min="10001" max="10001" width="1.81640625" style="167" customWidth="1"/>
    <col min="10002" max="10002" width="3.54296875" style="167" customWidth="1"/>
    <col min="10003" max="10003" width="5.1796875" style="167" customWidth="1"/>
    <col min="10004" max="10004" width="5" style="167" customWidth="1"/>
    <col min="10005" max="10005" width="4.7265625" style="167" customWidth="1"/>
    <col min="10006" max="10006" width="5.90625" style="167" customWidth="1"/>
    <col min="10007" max="10015" width="4.7265625" style="167" customWidth="1"/>
    <col min="10016" max="10016" width="5" style="167" customWidth="1"/>
    <col min="10017" max="10240" width="6.81640625" style="167"/>
    <col min="10241" max="10243" width="0" style="167" hidden="1" customWidth="1"/>
    <col min="10244" max="10245" width="1.453125" style="167" customWidth="1"/>
    <col min="10246" max="10246" width="3.26953125" style="167" customWidth="1"/>
    <col min="10247" max="10247" width="13.7265625" style="167" customWidth="1"/>
    <col min="10248" max="10255" width="6.08984375" style="167" customWidth="1"/>
    <col min="10256" max="10256" width="1.453125" style="167" customWidth="1"/>
    <col min="10257" max="10257" width="1.81640625" style="167" customWidth="1"/>
    <col min="10258" max="10258" width="3.54296875" style="167" customWidth="1"/>
    <col min="10259" max="10259" width="5.1796875" style="167" customWidth="1"/>
    <col min="10260" max="10260" width="5" style="167" customWidth="1"/>
    <col min="10261" max="10261" width="4.7265625" style="167" customWidth="1"/>
    <col min="10262" max="10262" width="5.90625" style="167" customWidth="1"/>
    <col min="10263" max="10271" width="4.7265625" style="167" customWidth="1"/>
    <col min="10272" max="10272" width="5" style="167" customWidth="1"/>
    <col min="10273" max="10496" width="6.81640625" style="167"/>
    <col min="10497" max="10499" width="0" style="167" hidden="1" customWidth="1"/>
    <col min="10500" max="10501" width="1.453125" style="167" customWidth="1"/>
    <col min="10502" max="10502" width="3.26953125" style="167" customWidth="1"/>
    <col min="10503" max="10503" width="13.7265625" style="167" customWidth="1"/>
    <col min="10504" max="10511" width="6.08984375" style="167" customWidth="1"/>
    <col min="10512" max="10512" width="1.453125" style="167" customWidth="1"/>
    <col min="10513" max="10513" width="1.81640625" style="167" customWidth="1"/>
    <col min="10514" max="10514" width="3.54296875" style="167" customWidth="1"/>
    <col min="10515" max="10515" width="5.1796875" style="167" customWidth="1"/>
    <col min="10516" max="10516" width="5" style="167" customWidth="1"/>
    <col min="10517" max="10517" width="4.7265625" style="167" customWidth="1"/>
    <col min="10518" max="10518" width="5.90625" style="167" customWidth="1"/>
    <col min="10519" max="10527" width="4.7265625" style="167" customWidth="1"/>
    <col min="10528" max="10528" width="5" style="167" customWidth="1"/>
    <col min="10529" max="10752" width="6.81640625" style="167"/>
    <col min="10753" max="10755" width="0" style="167" hidden="1" customWidth="1"/>
    <col min="10756" max="10757" width="1.453125" style="167" customWidth="1"/>
    <col min="10758" max="10758" width="3.26953125" style="167" customWidth="1"/>
    <col min="10759" max="10759" width="13.7265625" style="167" customWidth="1"/>
    <col min="10760" max="10767" width="6.08984375" style="167" customWidth="1"/>
    <col min="10768" max="10768" width="1.453125" style="167" customWidth="1"/>
    <col min="10769" max="10769" width="1.81640625" style="167" customWidth="1"/>
    <col min="10770" max="10770" width="3.54296875" style="167" customWidth="1"/>
    <col min="10771" max="10771" width="5.1796875" style="167" customWidth="1"/>
    <col min="10772" max="10772" width="5" style="167" customWidth="1"/>
    <col min="10773" max="10773" width="4.7265625" style="167" customWidth="1"/>
    <col min="10774" max="10774" width="5.90625" style="167" customWidth="1"/>
    <col min="10775" max="10783" width="4.7265625" style="167" customWidth="1"/>
    <col min="10784" max="10784" width="5" style="167" customWidth="1"/>
    <col min="10785" max="11008" width="6.81640625" style="167"/>
    <col min="11009" max="11011" width="0" style="167" hidden="1" customWidth="1"/>
    <col min="11012" max="11013" width="1.453125" style="167" customWidth="1"/>
    <col min="11014" max="11014" width="3.26953125" style="167" customWidth="1"/>
    <col min="11015" max="11015" width="13.7265625" style="167" customWidth="1"/>
    <col min="11016" max="11023" width="6.08984375" style="167" customWidth="1"/>
    <col min="11024" max="11024" width="1.453125" style="167" customWidth="1"/>
    <col min="11025" max="11025" width="1.81640625" style="167" customWidth="1"/>
    <col min="11026" max="11026" width="3.54296875" style="167" customWidth="1"/>
    <col min="11027" max="11027" width="5.1796875" style="167" customWidth="1"/>
    <col min="11028" max="11028" width="5" style="167" customWidth="1"/>
    <col min="11029" max="11029" width="4.7265625" style="167" customWidth="1"/>
    <col min="11030" max="11030" width="5.90625" style="167" customWidth="1"/>
    <col min="11031" max="11039" width="4.7265625" style="167" customWidth="1"/>
    <col min="11040" max="11040" width="5" style="167" customWidth="1"/>
    <col min="11041" max="11264" width="6.81640625" style="167"/>
    <col min="11265" max="11267" width="0" style="167" hidden="1" customWidth="1"/>
    <col min="11268" max="11269" width="1.453125" style="167" customWidth="1"/>
    <col min="11270" max="11270" width="3.26953125" style="167" customWidth="1"/>
    <col min="11271" max="11271" width="13.7265625" style="167" customWidth="1"/>
    <col min="11272" max="11279" width="6.08984375" style="167" customWidth="1"/>
    <col min="11280" max="11280" width="1.453125" style="167" customWidth="1"/>
    <col min="11281" max="11281" width="1.81640625" style="167" customWidth="1"/>
    <col min="11282" max="11282" width="3.54296875" style="167" customWidth="1"/>
    <col min="11283" max="11283" width="5.1796875" style="167" customWidth="1"/>
    <col min="11284" max="11284" width="5" style="167" customWidth="1"/>
    <col min="11285" max="11285" width="4.7265625" style="167" customWidth="1"/>
    <col min="11286" max="11286" width="5.90625" style="167" customWidth="1"/>
    <col min="11287" max="11295" width="4.7265625" style="167" customWidth="1"/>
    <col min="11296" max="11296" width="5" style="167" customWidth="1"/>
    <col min="11297" max="11520" width="6.81640625" style="167"/>
    <col min="11521" max="11523" width="0" style="167" hidden="1" customWidth="1"/>
    <col min="11524" max="11525" width="1.453125" style="167" customWidth="1"/>
    <col min="11526" max="11526" width="3.26953125" style="167" customWidth="1"/>
    <col min="11527" max="11527" width="13.7265625" style="167" customWidth="1"/>
    <col min="11528" max="11535" width="6.08984375" style="167" customWidth="1"/>
    <col min="11536" max="11536" width="1.453125" style="167" customWidth="1"/>
    <col min="11537" max="11537" width="1.81640625" style="167" customWidth="1"/>
    <col min="11538" max="11538" width="3.54296875" style="167" customWidth="1"/>
    <col min="11539" max="11539" width="5.1796875" style="167" customWidth="1"/>
    <col min="11540" max="11540" width="5" style="167" customWidth="1"/>
    <col min="11541" max="11541" width="4.7265625" style="167" customWidth="1"/>
    <col min="11542" max="11542" width="5.90625" style="167" customWidth="1"/>
    <col min="11543" max="11551" width="4.7265625" style="167" customWidth="1"/>
    <col min="11552" max="11552" width="5" style="167" customWidth="1"/>
    <col min="11553" max="11776" width="6.81640625" style="167"/>
    <col min="11777" max="11779" width="0" style="167" hidden="1" customWidth="1"/>
    <col min="11780" max="11781" width="1.453125" style="167" customWidth="1"/>
    <col min="11782" max="11782" width="3.26953125" style="167" customWidth="1"/>
    <col min="11783" max="11783" width="13.7265625" style="167" customWidth="1"/>
    <col min="11784" max="11791" width="6.08984375" style="167" customWidth="1"/>
    <col min="11792" max="11792" width="1.453125" style="167" customWidth="1"/>
    <col min="11793" max="11793" width="1.81640625" style="167" customWidth="1"/>
    <col min="11794" max="11794" width="3.54296875" style="167" customWidth="1"/>
    <col min="11795" max="11795" width="5.1796875" style="167" customWidth="1"/>
    <col min="11796" max="11796" width="5" style="167" customWidth="1"/>
    <col min="11797" max="11797" width="4.7265625" style="167" customWidth="1"/>
    <col min="11798" max="11798" width="5.90625" style="167" customWidth="1"/>
    <col min="11799" max="11807" width="4.7265625" style="167" customWidth="1"/>
    <col min="11808" max="11808" width="5" style="167" customWidth="1"/>
    <col min="11809" max="12032" width="6.81640625" style="167"/>
    <col min="12033" max="12035" width="0" style="167" hidden="1" customWidth="1"/>
    <col min="12036" max="12037" width="1.453125" style="167" customWidth="1"/>
    <col min="12038" max="12038" width="3.26953125" style="167" customWidth="1"/>
    <col min="12039" max="12039" width="13.7265625" style="167" customWidth="1"/>
    <col min="12040" max="12047" width="6.08984375" style="167" customWidth="1"/>
    <col min="12048" max="12048" width="1.453125" style="167" customWidth="1"/>
    <col min="12049" max="12049" width="1.81640625" style="167" customWidth="1"/>
    <col min="12050" max="12050" width="3.54296875" style="167" customWidth="1"/>
    <col min="12051" max="12051" width="5.1796875" style="167" customWidth="1"/>
    <col min="12052" max="12052" width="5" style="167" customWidth="1"/>
    <col min="12053" max="12053" width="4.7265625" style="167" customWidth="1"/>
    <col min="12054" max="12054" width="5.90625" style="167" customWidth="1"/>
    <col min="12055" max="12063" width="4.7265625" style="167" customWidth="1"/>
    <col min="12064" max="12064" width="5" style="167" customWidth="1"/>
    <col min="12065" max="12288" width="6.81640625" style="167"/>
    <col min="12289" max="12291" width="0" style="167" hidden="1" customWidth="1"/>
    <col min="12292" max="12293" width="1.453125" style="167" customWidth="1"/>
    <col min="12294" max="12294" width="3.26953125" style="167" customWidth="1"/>
    <col min="12295" max="12295" width="13.7265625" style="167" customWidth="1"/>
    <col min="12296" max="12303" width="6.08984375" style="167" customWidth="1"/>
    <col min="12304" max="12304" width="1.453125" style="167" customWidth="1"/>
    <col min="12305" max="12305" width="1.81640625" style="167" customWidth="1"/>
    <col min="12306" max="12306" width="3.54296875" style="167" customWidth="1"/>
    <col min="12307" max="12307" width="5.1796875" style="167" customWidth="1"/>
    <col min="12308" max="12308" width="5" style="167" customWidth="1"/>
    <col min="12309" max="12309" width="4.7265625" style="167" customWidth="1"/>
    <col min="12310" max="12310" width="5.90625" style="167" customWidth="1"/>
    <col min="12311" max="12319" width="4.7265625" style="167" customWidth="1"/>
    <col min="12320" max="12320" width="5" style="167" customWidth="1"/>
    <col min="12321" max="12544" width="6.81640625" style="167"/>
    <col min="12545" max="12547" width="0" style="167" hidden="1" customWidth="1"/>
    <col min="12548" max="12549" width="1.453125" style="167" customWidth="1"/>
    <col min="12550" max="12550" width="3.26953125" style="167" customWidth="1"/>
    <col min="12551" max="12551" width="13.7265625" style="167" customWidth="1"/>
    <col min="12552" max="12559" width="6.08984375" style="167" customWidth="1"/>
    <col min="12560" max="12560" width="1.453125" style="167" customWidth="1"/>
    <col min="12561" max="12561" width="1.81640625" style="167" customWidth="1"/>
    <col min="12562" max="12562" width="3.54296875" style="167" customWidth="1"/>
    <col min="12563" max="12563" width="5.1796875" style="167" customWidth="1"/>
    <col min="12564" max="12564" width="5" style="167" customWidth="1"/>
    <col min="12565" max="12565" width="4.7265625" style="167" customWidth="1"/>
    <col min="12566" max="12566" width="5.90625" style="167" customWidth="1"/>
    <col min="12567" max="12575" width="4.7265625" style="167" customWidth="1"/>
    <col min="12576" max="12576" width="5" style="167" customWidth="1"/>
    <col min="12577" max="12800" width="6.81640625" style="167"/>
    <col min="12801" max="12803" width="0" style="167" hidden="1" customWidth="1"/>
    <col min="12804" max="12805" width="1.453125" style="167" customWidth="1"/>
    <col min="12806" max="12806" width="3.26953125" style="167" customWidth="1"/>
    <col min="12807" max="12807" width="13.7265625" style="167" customWidth="1"/>
    <col min="12808" max="12815" width="6.08984375" style="167" customWidth="1"/>
    <col min="12816" max="12816" width="1.453125" style="167" customWidth="1"/>
    <col min="12817" max="12817" width="1.81640625" style="167" customWidth="1"/>
    <col min="12818" max="12818" width="3.54296875" style="167" customWidth="1"/>
    <col min="12819" max="12819" width="5.1796875" style="167" customWidth="1"/>
    <col min="12820" max="12820" width="5" style="167" customWidth="1"/>
    <col min="12821" max="12821" width="4.7265625" style="167" customWidth="1"/>
    <col min="12822" max="12822" width="5.90625" style="167" customWidth="1"/>
    <col min="12823" max="12831" width="4.7265625" style="167" customWidth="1"/>
    <col min="12832" max="12832" width="5" style="167" customWidth="1"/>
    <col min="12833" max="13056" width="6.81640625" style="167"/>
    <col min="13057" max="13059" width="0" style="167" hidden="1" customWidth="1"/>
    <col min="13060" max="13061" width="1.453125" style="167" customWidth="1"/>
    <col min="13062" max="13062" width="3.26953125" style="167" customWidth="1"/>
    <col min="13063" max="13063" width="13.7265625" style="167" customWidth="1"/>
    <col min="13064" max="13071" width="6.08984375" style="167" customWidth="1"/>
    <col min="13072" max="13072" width="1.453125" style="167" customWidth="1"/>
    <col min="13073" max="13073" width="1.81640625" style="167" customWidth="1"/>
    <col min="13074" max="13074" width="3.54296875" style="167" customWidth="1"/>
    <col min="13075" max="13075" width="5.1796875" style="167" customWidth="1"/>
    <col min="13076" max="13076" width="5" style="167" customWidth="1"/>
    <col min="13077" max="13077" width="4.7265625" style="167" customWidth="1"/>
    <col min="13078" max="13078" width="5.90625" style="167" customWidth="1"/>
    <col min="13079" max="13087" width="4.7265625" style="167" customWidth="1"/>
    <col min="13088" max="13088" width="5" style="167" customWidth="1"/>
    <col min="13089" max="13312" width="6.81640625" style="167"/>
    <col min="13313" max="13315" width="0" style="167" hidden="1" customWidth="1"/>
    <col min="13316" max="13317" width="1.453125" style="167" customWidth="1"/>
    <col min="13318" max="13318" width="3.26953125" style="167" customWidth="1"/>
    <col min="13319" max="13319" width="13.7265625" style="167" customWidth="1"/>
    <col min="13320" max="13327" width="6.08984375" style="167" customWidth="1"/>
    <col min="13328" max="13328" width="1.453125" style="167" customWidth="1"/>
    <col min="13329" max="13329" width="1.81640625" style="167" customWidth="1"/>
    <col min="13330" max="13330" width="3.54296875" style="167" customWidth="1"/>
    <col min="13331" max="13331" width="5.1796875" style="167" customWidth="1"/>
    <col min="13332" max="13332" width="5" style="167" customWidth="1"/>
    <col min="13333" max="13333" width="4.7265625" style="167" customWidth="1"/>
    <col min="13334" max="13334" width="5.90625" style="167" customWidth="1"/>
    <col min="13335" max="13343" width="4.7265625" style="167" customWidth="1"/>
    <col min="13344" max="13344" width="5" style="167" customWidth="1"/>
    <col min="13345" max="13568" width="6.81640625" style="167"/>
    <col min="13569" max="13571" width="0" style="167" hidden="1" customWidth="1"/>
    <col min="13572" max="13573" width="1.453125" style="167" customWidth="1"/>
    <col min="13574" max="13574" width="3.26953125" style="167" customWidth="1"/>
    <col min="13575" max="13575" width="13.7265625" style="167" customWidth="1"/>
    <col min="13576" max="13583" width="6.08984375" style="167" customWidth="1"/>
    <col min="13584" max="13584" width="1.453125" style="167" customWidth="1"/>
    <col min="13585" max="13585" width="1.81640625" style="167" customWidth="1"/>
    <col min="13586" max="13586" width="3.54296875" style="167" customWidth="1"/>
    <col min="13587" max="13587" width="5.1796875" style="167" customWidth="1"/>
    <col min="13588" max="13588" width="5" style="167" customWidth="1"/>
    <col min="13589" max="13589" width="4.7265625" style="167" customWidth="1"/>
    <col min="13590" max="13590" width="5.90625" style="167" customWidth="1"/>
    <col min="13591" max="13599" width="4.7265625" style="167" customWidth="1"/>
    <col min="13600" max="13600" width="5" style="167" customWidth="1"/>
    <col min="13601" max="13824" width="6.81640625" style="167"/>
    <col min="13825" max="13827" width="0" style="167" hidden="1" customWidth="1"/>
    <col min="13828" max="13829" width="1.453125" style="167" customWidth="1"/>
    <col min="13830" max="13830" width="3.26953125" style="167" customWidth="1"/>
    <col min="13831" max="13831" width="13.7265625" style="167" customWidth="1"/>
    <col min="13832" max="13839" width="6.08984375" style="167" customWidth="1"/>
    <col min="13840" max="13840" width="1.453125" style="167" customWidth="1"/>
    <col min="13841" max="13841" width="1.81640625" style="167" customWidth="1"/>
    <col min="13842" max="13842" width="3.54296875" style="167" customWidth="1"/>
    <col min="13843" max="13843" width="5.1796875" style="167" customWidth="1"/>
    <col min="13844" max="13844" width="5" style="167" customWidth="1"/>
    <col min="13845" max="13845" width="4.7265625" style="167" customWidth="1"/>
    <col min="13846" max="13846" width="5.90625" style="167" customWidth="1"/>
    <col min="13847" max="13855" width="4.7265625" style="167" customWidth="1"/>
    <col min="13856" max="13856" width="5" style="167" customWidth="1"/>
    <col min="13857" max="14080" width="6.81640625" style="167"/>
    <col min="14081" max="14083" width="0" style="167" hidden="1" customWidth="1"/>
    <col min="14084" max="14085" width="1.453125" style="167" customWidth="1"/>
    <col min="14086" max="14086" width="3.26953125" style="167" customWidth="1"/>
    <col min="14087" max="14087" width="13.7265625" style="167" customWidth="1"/>
    <col min="14088" max="14095" width="6.08984375" style="167" customWidth="1"/>
    <col min="14096" max="14096" width="1.453125" style="167" customWidth="1"/>
    <col min="14097" max="14097" width="1.81640625" style="167" customWidth="1"/>
    <col min="14098" max="14098" width="3.54296875" style="167" customWidth="1"/>
    <col min="14099" max="14099" width="5.1796875" style="167" customWidth="1"/>
    <col min="14100" max="14100" width="5" style="167" customWidth="1"/>
    <col min="14101" max="14101" width="4.7265625" style="167" customWidth="1"/>
    <col min="14102" max="14102" width="5.90625" style="167" customWidth="1"/>
    <col min="14103" max="14111" width="4.7265625" style="167" customWidth="1"/>
    <col min="14112" max="14112" width="5" style="167" customWidth="1"/>
    <col min="14113" max="14336" width="6.81640625" style="167"/>
    <col min="14337" max="14339" width="0" style="167" hidden="1" customWidth="1"/>
    <col min="14340" max="14341" width="1.453125" style="167" customWidth="1"/>
    <col min="14342" max="14342" width="3.26953125" style="167" customWidth="1"/>
    <col min="14343" max="14343" width="13.7265625" style="167" customWidth="1"/>
    <col min="14344" max="14351" width="6.08984375" style="167" customWidth="1"/>
    <col min="14352" max="14352" width="1.453125" style="167" customWidth="1"/>
    <col min="14353" max="14353" width="1.81640625" style="167" customWidth="1"/>
    <col min="14354" max="14354" width="3.54296875" style="167" customWidth="1"/>
    <col min="14355" max="14355" width="5.1796875" style="167" customWidth="1"/>
    <col min="14356" max="14356" width="5" style="167" customWidth="1"/>
    <col min="14357" max="14357" width="4.7265625" style="167" customWidth="1"/>
    <col min="14358" max="14358" width="5.90625" style="167" customWidth="1"/>
    <col min="14359" max="14367" width="4.7265625" style="167" customWidth="1"/>
    <col min="14368" max="14368" width="5" style="167" customWidth="1"/>
    <col min="14369" max="14592" width="6.81640625" style="167"/>
    <col min="14593" max="14595" width="0" style="167" hidden="1" customWidth="1"/>
    <col min="14596" max="14597" width="1.453125" style="167" customWidth="1"/>
    <col min="14598" max="14598" width="3.26953125" style="167" customWidth="1"/>
    <col min="14599" max="14599" width="13.7265625" style="167" customWidth="1"/>
    <col min="14600" max="14607" width="6.08984375" style="167" customWidth="1"/>
    <col min="14608" max="14608" width="1.453125" style="167" customWidth="1"/>
    <col min="14609" max="14609" width="1.81640625" style="167" customWidth="1"/>
    <col min="14610" max="14610" width="3.54296875" style="167" customWidth="1"/>
    <col min="14611" max="14611" width="5.1796875" style="167" customWidth="1"/>
    <col min="14612" max="14612" width="5" style="167" customWidth="1"/>
    <col min="14613" max="14613" width="4.7265625" style="167" customWidth="1"/>
    <col min="14614" max="14614" width="5.90625" style="167" customWidth="1"/>
    <col min="14615" max="14623" width="4.7265625" style="167" customWidth="1"/>
    <col min="14624" max="14624" width="5" style="167" customWidth="1"/>
    <col min="14625" max="14848" width="6.81640625" style="167"/>
    <col min="14849" max="14851" width="0" style="167" hidden="1" customWidth="1"/>
    <col min="14852" max="14853" width="1.453125" style="167" customWidth="1"/>
    <col min="14854" max="14854" width="3.26953125" style="167" customWidth="1"/>
    <col min="14855" max="14855" width="13.7265625" style="167" customWidth="1"/>
    <col min="14856" max="14863" width="6.08984375" style="167" customWidth="1"/>
    <col min="14864" max="14864" width="1.453125" style="167" customWidth="1"/>
    <col min="14865" max="14865" width="1.81640625" style="167" customWidth="1"/>
    <col min="14866" max="14866" width="3.54296875" style="167" customWidth="1"/>
    <col min="14867" max="14867" width="5.1796875" style="167" customWidth="1"/>
    <col min="14868" max="14868" width="5" style="167" customWidth="1"/>
    <col min="14869" max="14869" width="4.7265625" style="167" customWidth="1"/>
    <col min="14870" max="14870" width="5.90625" style="167" customWidth="1"/>
    <col min="14871" max="14879" width="4.7265625" style="167" customWidth="1"/>
    <col min="14880" max="14880" width="5" style="167" customWidth="1"/>
    <col min="14881" max="15104" width="6.81640625" style="167"/>
    <col min="15105" max="15107" width="0" style="167" hidden="1" customWidth="1"/>
    <col min="15108" max="15109" width="1.453125" style="167" customWidth="1"/>
    <col min="15110" max="15110" width="3.26953125" style="167" customWidth="1"/>
    <col min="15111" max="15111" width="13.7265625" style="167" customWidth="1"/>
    <col min="15112" max="15119" width="6.08984375" style="167" customWidth="1"/>
    <col min="15120" max="15120" width="1.453125" style="167" customWidth="1"/>
    <col min="15121" max="15121" width="1.81640625" style="167" customWidth="1"/>
    <col min="15122" max="15122" width="3.54296875" style="167" customWidth="1"/>
    <col min="15123" max="15123" width="5.1796875" style="167" customWidth="1"/>
    <col min="15124" max="15124" width="5" style="167" customWidth="1"/>
    <col min="15125" max="15125" width="4.7265625" style="167" customWidth="1"/>
    <col min="15126" max="15126" width="5.90625" style="167" customWidth="1"/>
    <col min="15127" max="15135" width="4.7265625" style="167" customWidth="1"/>
    <col min="15136" max="15136" width="5" style="167" customWidth="1"/>
    <col min="15137" max="15360" width="6.81640625" style="167"/>
    <col min="15361" max="15363" width="0" style="167" hidden="1" customWidth="1"/>
    <col min="15364" max="15365" width="1.453125" style="167" customWidth="1"/>
    <col min="15366" max="15366" width="3.26953125" style="167" customWidth="1"/>
    <col min="15367" max="15367" width="13.7265625" style="167" customWidth="1"/>
    <col min="15368" max="15375" width="6.08984375" style="167" customWidth="1"/>
    <col min="15376" max="15376" width="1.453125" style="167" customWidth="1"/>
    <col min="15377" max="15377" width="1.81640625" style="167" customWidth="1"/>
    <col min="15378" max="15378" width="3.54296875" style="167" customWidth="1"/>
    <col min="15379" max="15379" width="5.1796875" style="167" customWidth="1"/>
    <col min="15380" max="15380" width="5" style="167" customWidth="1"/>
    <col min="15381" max="15381" width="4.7265625" style="167" customWidth="1"/>
    <col min="15382" max="15382" width="5.90625" style="167" customWidth="1"/>
    <col min="15383" max="15391" width="4.7265625" style="167" customWidth="1"/>
    <col min="15392" max="15392" width="5" style="167" customWidth="1"/>
    <col min="15393" max="15616" width="6.81640625" style="167"/>
    <col min="15617" max="15619" width="0" style="167" hidden="1" customWidth="1"/>
    <col min="15620" max="15621" width="1.453125" style="167" customWidth="1"/>
    <col min="15622" max="15622" width="3.26953125" style="167" customWidth="1"/>
    <col min="15623" max="15623" width="13.7265625" style="167" customWidth="1"/>
    <col min="15624" max="15631" width="6.08984375" style="167" customWidth="1"/>
    <col min="15632" max="15632" width="1.453125" style="167" customWidth="1"/>
    <col min="15633" max="15633" width="1.81640625" style="167" customWidth="1"/>
    <col min="15634" max="15634" width="3.54296875" style="167" customWidth="1"/>
    <col min="15635" max="15635" width="5.1796875" style="167" customWidth="1"/>
    <col min="15636" max="15636" width="5" style="167" customWidth="1"/>
    <col min="15637" max="15637" width="4.7265625" style="167" customWidth="1"/>
    <col min="15638" max="15638" width="5.90625" style="167" customWidth="1"/>
    <col min="15639" max="15647" width="4.7265625" style="167" customWidth="1"/>
    <col min="15648" max="15648" width="5" style="167" customWidth="1"/>
    <col min="15649" max="15872" width="6.81640625" style="167"/>
    <col min="15873" max="15875" width="0" style="167" hidden="1" customWidth="1"/>
    <col min="15876" max="15877" width="1.453125" style="167" customWidth="1"/>
    <col min="15878" max="15878" width="3.26953125" style="167" customWidth="1"/>
    <col min="15879" max="15879" width="13.7265625" style="167" customWidth="1"/>
    <col min="15880" max="15887" width="6.08984375" style="167" customWidth="1"/>
    <col min="15888" max="15888" width="1.453125" style="167" customWidth="1"/>
    <col min="15889" max="15889" width="1.81640625" style="167" customWidth="1"/>
    <col min="15890" max="15890" width="3.54296875" style="167" customWidth="1"/>
    <col min="15891" max="15891" width="5.1796875" style="167" customWidth="1"/>
    <col min="15892" max="15892" width="5" style="167" customWidth="1"/>
    <col min="15893" max="15893" width="4.7265625" style="167" customWidth="1"/>
    <col min="15894" max="15894" width="5.90625" style="167" customWidth="1"/>
    <col min="15895" max="15903" width="4.7265625" style="167" customWidth="1"/>
    <col min="15904" max="15904" width="5" style="167" customWidth="1"/>
    <col min="15905" max="16128" width="6.81640625" style="167"/>
    <col min="16129" max="16131" width="0" style="167" hidden="1" customWidth="1"/>
    <col min="16132" max="16133" width="1.453125" style="167" customWidth="1"/>
    <col min="16134" max="16134" width="3.26953125" style="167" customWidth="1"/>
    <col min="16135" max="16135" width="13.7265625" style="167" customWidth="1"/>
    <col min="16136" max="16143" width="6.08984375" style="167" customWidth="1"/>
    <col min="16144" max="16144" width="1.453125" style="167" customWidth="1"/>
    <col min="16145" max="16145" width="1.81640625" style="167" customWidth="1"/>
    <col min="16146" max="16146" width="3.54296875" style="167" customWidth="1"/>
    <col min="16147" max="16147" width="5.1796875" style="167" customWidth="1"/>
    <col min="16148" max="16148" width="5" style="167" customWidth="1"/>
    <col min="16149" max="16149" width="4.7265625" style="167" customWidth="1"/>
    <col min="16150" max="16150" width="5.90625" style="167" customWidth="1"/>
    <col min="16151" max="16159" width="4.7265625" style="167" customWidth="1"/>
    <col min="16160" max="16160" width="5" style="167" customWidth="1"/>
    <col min="16161" max="16384" width="6.81640625" style="167"/>
  </cols>
  <sheetData>
    <row r="1" spans="4:37" ht="9.5" customHeight="1" thickBot="1">
      <c r="D1" s="163"/>
      <c r="E1" s="164"/>
      <c r="F1" s="165"/>
      <c r="G1" s="165"/>
      <c r="H1" s="165"/>
      <c r="I1" s="165"/>
      <c r="J1" s="165"/>
      <c r="K1" s="165"/>
      <c r="L1" s="165"/>
      <c r="M1" s="165"/>
      <c r="N1" s="165"/>
      <c r="O1" s="166"/>
      <c r="P1" s="165"/>
    </row>
    <row r="2" spans="4:37" ht="9" customHeight="1" thickTop="1">
      <c r="F2" s="169"/>
      <c r="G2" s="169"/>
      <c r="H2" s="169"/>
      <c r="I2" s="169"/>
      <c r="J2" s="169"/>
      <c r="K2" s="169"/>
      <c r="L2" s="169"/>
      <c r="M2" s="169"/>
      <c r="N2" s="169"/>
      <c r="O2" s="170"/>
      <c r="P2" s="171"/>
    </row>
    <row r="3" spans="4:37" ht="18" customHeight="1">
      <c r="F3" s="958" t="s">
        <v>851</v>
      </c>
      <c r="G3" s="958"/>
      <c r="H3" s="959" t="s">
        <v>852</v>
      </c>
      <c r="I3" s="959"/>
      <c r="J3" s="959"/>
      <c r="K3" s="959"/>
      <c r="L3" s="175"/>
      <c r="M3" s="175"/>
      <c r="N3" s="175"/>
      <c r="O3" s="175"/>
      <c r="P3" s="168"/>
      <c r="Q3" s="176"/>
      <c r="R3" s="176"/>
      <c r="S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7"/>
      <c r="AH3" s="177"/>
      <c r="AI3" s="178"/>
      <c r="AJ3" s="178"/>
      <c r="AK3" s="179"/>
    </row>
    <row r="4" spans="4:37" ht="11.25" customHeight="1">
      <c r="F4" s="958"/>
      <c r="G4" s="958"/>
      <c r="H4" s="959"/>
      <c r="I4" s="959"/>
      <c r="J4" s="959"/>
      <c r="K4" s="959"/>
      <c r="L4" s="175"/>
      <c r="M4" s="175"/>
      <c r="N4" s="175"/>
      <c r="O4" s="175"/>
      <c r="P4" s="168"/>
      <c r="Q4" s="176"/>
      <c r="R4" s="176"/>
      <c r="S4" s="176"/>
      <c r="T4" s="180"/>
      <c r="U4" s="180"/>
      <c r="V4" s="180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8"/>
      <c r="AK4" s="179"/>
    </row>
    <row r="5" spans="4:37" ht="12.75" hidden="1" customHeight="1">
      <c r="F5" s="181"/>
      <c r="G5" s="181"/>
      <c r="H5" s="181"/>
      <c r="I5" s="181"/>
      <c r="J5" s="181"/>
      <c r="K5" s="181"/>
      <c r="L5" s="181"/>
      <c r="M5" s="181"/>
      <c r="N5" s="181"/>
      <c r="O5" s="182">
        <f>VLOOKUP(I86,Ср.мес.Т!A1:BP1310,G86)</f>
        <v>340</v>
      </c>
      <c r="P5" s="168"/>
      <c r="Q5" s="183"/>
      <c r="R5" s="176"/>
      <c r="S5" s="176"/>
      <c r="T5" s="180"/>
      <c r="U5" s="180"/>
      <c r="V5" s="180"/>
      <c r="W5" s="176"/>
      <c r="X5" s="176"/>
      <c r="Y5" s="176"/>
      <c r="Z5" s="176"/>
      <c r="AA5" s="183"/>
      <c r="AB5" s="183"/>
      <c r="AC5" s="176"/>
      <c r="AD5" s="176"/>
      <c r="AE5" s="176"/>
      <c r="AF5" s="176"/>
      <c r="AG5" s="176"/>
      <c r="AH5" s="176"/>
      <c r="AI5" s="176"/>
      <c r="AJ5" s="178"/>
      <c r="AK5" s="179"/>
    </row>
    <row r="6" spans="4:37" ht="12.75" hidden="1" customHeight="1">
      <c r="F6" s="181"/>
      <c r="G6" s="181"/>
      <c r="H6" s="181"/>
      <c r="I6" s="181"/>
      <c r="J6" s="181"/>
      <c r="K6" s="181"/>
      <c r="L6" s="181"/>
      <c r="M6" s="181"/>
      <c r="N6" s="181"/>
      <c r="O6" s="182">
        <f>VLOOKUP(I87,Ср.мес.Т!A2:BP1311,G87)</f>
        <v>212</v>
      </c>
      <c r="P6" s="168"/>
      <c r="Q6" s="183"/>
      <c r="R6" s="176"/>
      <c r="S6" s="176"/>
      <c r="T6" s="180"/>
      <c r="U6" s="180"/>
      <c r="V6" s="180"/>
      <c r="W6" s="176"/>
      <c r="X6" s="176"/>
      <c r="Y6" s="176"/>
      <c r="Z6" s="176"/>
      <c r="AA6" s="183"/>
      <c r="AB6" s="183"/>
      <c r="AC6" s="176"/>
      <c r="AD6" s="176"/>
      <c r="AE6" s="176"/>
      <c r="AF6" s="176"/>
      <c r="AG6" s="176"/>
      <c r="AH6" s="176"/>
      <c r="AI6" s="176"/>
      <c r="AJ6" s="178"/>
      <c r="AK6" s="179"/>
    </row>
    <row r="7" spans="4:37" ht="17.25" customHeight="1">
      <c r="F7" s="960" t="str">
        <f>Ср.мес.Т!C3</f>
        <v>Республика</v>
      </c>
      <c r="G7" s="960"/>
      <c r="H7" s="961" t="str">
        <f>VLOOKUP(I88,Ср.мес.Т!A3:BP1312,G88)</f>
        <v>Великая Русь</v>
      </c>
      <c r="I7" s="961"/>
      <c r="J7" s="961"/>
      <c r="K7" s="961"/>
      <c r="L7" s="961"/>
      <c r="M7" s="961"/>
      <c r="N7" s="961"/>
      <c r="O7" s="961"/>
      <c r="P7" s="168"/>
      <c r="Q7" s="183"/>
      <c r="R7" s="176"/>
      <c r="S7" s="176"/>
      <c r="T7" s="180"/>
      <c r="V7" s="180"/>
      <c r="W7" s="176"/>
      <c r="X7" s="176"/>
      <c r="Y7" s="176"/>
      <c r="Z7" s="176"/>
      <c r="AA7" s="183"/>
      <c r="AB7" s="183"/>
      <c r="AC7" s="176"/>
      <c r="AD7" s="176"/>
      <c r="AE7" s="176"/>
      <c r="AF7" s="176"/>
      <c r="AG7" s="176"/>
      <c r="AH7" s="176"/>
      <c r="AI7" s="176"/>
      <c r="AJ7" s="178"/>
      <c r="AK7" s="179"/>
    </row>
    <row r="8" spans="4:37" ht="18" customHeight="1">
      <c r="F8" s="962" t="str">
        <f>Ср.мес.Т!D3</f>
        <v>край</v>
      </c>
      <c r="G8" s="962"/>
      <c r="H8" s="963" t="str">
        <f>VLOOKUP(I89,Ср.мес.Т!A4:BP1313,G89)</f>
        <v>Московская область</v>
      </c>
      <c r="I8" s="963"/>
      <c r="J8" s="963"/>
      <c r="K8" s="963"/>
      <c r="L8" s="963"/>
      <c r="M8" s="963"/>
      <c r="N8" s="963"/>
      <c r="O8" s="963"/>
      <c r="P8" s="168"/>
      <c r="Q8" s="183"/>
      <c r="S8" s="176"/>
      <c r="T8" s="176"/>
      <c r="U8" s="176"/>
      <c r="V8" s="176"/>
      <c r="W8" s="176"/>
      <c r="X8" s="176"/>
      <c r="Y8" s="176"/>
      <c r="Z8" s="176"/>
      <c r="AA8" s="183"/>
      <c r="AB8" s="183"/>
      <c r="AC8" s="176"/>
      <c r="AD8" s="176"/>
      <c r="AE8" s="176"/>
      <c r="AF8" s="176"/>
      <c r="AG8" s="176"/>
      <c r="AH8" s="176"/>
      <c r="AI8" s="176"/>
      <c r="AJ8" s="178"/>
      <c r="AK8" s="179"/>
    </row>
    <row r="9" spans="4:37" ht="11.25" customHeight="1">
      <c r="F9" s="962" t="str">
        <f>Ср.мес.Т!E3</f>
        <v>город</v>
      </c>
      <c r="G9" s="962"/>
      <c r="H9" s="964" t="str">
        <f>VLOOKUP(I90,Ср.мес.Т!A5:BP1314,G90)</f>
        <v>Москва</v>
      </c>
      <c r="I9" s="964"/>
      <c r="J9" s="964"/>
      <c r="K9" s="964"/>
      <c r="L9" s="964"/>
      <c r="M9" s="964"/>
      <c r="N9" s="964"/>
      <c r="O9" s="964"/>
      <c r="P9" s="168"/>
      <c r="Q9" s="184"/>
      <c r="S9" s="176"/>
      <c r="T9" s="176"/>
      <c r="U9" s="176"/>
      <c r="V9" s="176"/>
      <c r="W9" s="176"/>
      <c r="X9" s="176"/>
      <c r="Y9" s="176"/>
      <c r="Z9" s="176"/>
      <c r="AA9" s="185"/>
      <c r="AB9" s="185"/>
      <c r="AC9" s="176"/>
      <c r="AD9" s="176"/>
      <c r="AE9" s="176"/>
      <c r="AF9" s="176"/>
      <c r="AG9" s="176"/>
      <c r="AH9" s="176"/>
      <c r="AI9" s="176"/>
      <c r="AJ9" s="178"/>
      <c r="AK9" s="179"/>
    </row>
    <row r="10" spans="4:37" ht="11.25" customHeight="1">
      <c r="F10" s="962"/>
      <c r="G10" s="962"/>
      <c r="H10" s="964"/>
      <c r="I10" s="964"/>
      <c r="J10" s="964"/>
      <c r="K10" s="964"/>
      <c r="L10" s="964"/>
      <c r="M10" s="964"/>
      <c r="N10" s="964"/>
      <c r="O10" s="964"/>
      <c r="P10" s="168"/>
      <c r="Q10" s="184"/>
      <c r="R10" s="176"/>
      <c r="S10" s="176"/>
      <c r="T10" s="176"/>
      <c r="U10" s="176"/>
      <c r="V10" s="176"/>
      <c r="W10" s="176"/>
      <c r="X10" s="176"/>
      <c r="Y10" s="176"/>
      <c r="Z10" s="176"/>
      <c r="AA10" s="185"/>
      <c r="AB10" s="185"/>
      <c r="AC10" s="176"/>
      <c r="AD10" s="176"/>
      <c r="AE10" s="176"/>
      <c r="AF10" s="176"/>
      <c r="AG10" s="176"/>
      <c r="AH10" s="176"/>
      <c r="AI10" s="176"/>
      <c r="AJ10" s="178"/>
      <c r="AK10" s="179"/>
    </row>
    <row r="11" spans="4:37" ht="11.25" customHeight="1">
      <c r="F11" s="965" t="s">
        <v>853</v>
      </c>
      <c r="G11" s="965"/>
      <c r="H11" s="965"/>
      <c r="I11" s="965"/>
      <c r="J11" s="186"/>
      <c r="K11" s="186"/>
      <c r="L11" s="186"/>
      <c r="M11" s="186"/>
      <c r="N11" s="186"/>
      <c r="O11" s="187"/>
      <c r="P11" s="188"/>
      <c r="Q11" s="183"/>
      <c r="R11" s="176"/>
      <c r="S11" s="176"/>
      <c r="T11" s="176"/>
      <c r="U11" s="176"/>
      <c r="V11" s="176"/>
      <c r="W11" s="176"/>
      <c r="X11" s="176"/>
      <c r="Y11" s="176"/>
      <c r="AA11" s="185"/>
      <c r="AB11" s="185"/>
      <c r="AC11" s="176"/>
      <c r="AD11" s="176"/>
      <c r="AE11" s="176"/>
      <c r="AF11" s="176"/>
      <c r="AG11" s="176"/>
      <c r="AH11" s="176"/>
      <c r="AI11" s="176"/>
      <c r="AJ11" s="178"/>
      <c r="AK11" s="179"/>
    </row>
    <row r="12" spans="4:37" ht="19.5" customHeight="1">
      <c r="F12" s="965"/>
      <c r="G12" s="965"/>
      <c r="H12" s="965"/>
      <c r="I12" s="965"/>
      <c r="J12" s="186"/>
      <c r="K12" s="186"/>
      <c r="L12" s="186"/>
      <c r="M12" s="186"/>
      <c r="N12" s="186"/>
      <c r="O12" s="187"/>
      <c r="P12" s="188"/>
      <c r="Q12" s="183"/>
      <c r="R12" s="176"/>
      <c r="S12" s="176"/>
      <c r="T12" s="176"/>
      <c r="U12" s="176"/>
      <c r="V12" s="176"/>
      <c r="W12" s="176"/>
      <c r="X12" s="176"/>
      <c r="Y12" s="176"/>
      <c r="AA12" s="183"/>
      <c r="AB12" s="183"/>
      <c r="AC12" s="176"/>
      <c r="AD12" s="176"/>
      <c r="AE12" s="176"/>
      <c r="AF12" s="176"/>
      <c r="AG12" s="176"/>
      <c r="AH12" s="176"/>
      <c r="AI12" s="176"/>
      <c r="AJ12" s="178"/>
      <c r="AK12" s="179"/>
    </row>
    <row r="13" spans="4:37" ht="8.25" customHeight="1" thickBot="1">
      <c r="F13" s="189"/>
      <c r="G13" s="189"/>
      <c r="H13" s="190"/>
      <c r="I13" s="190"/>
      <c r="J13" s="191"/>
      <c r="K13" s="191"/>
      <c r="L13" s="191"/>
      <c r="M13" s="192"/>
      <c r="N13" s="192"/>
      <c r="O13" s="193"/>
      <c r="P13" s="194"/>
      <c r="Q13" s="183"/>
      <c r="R13" s="176"/>
      <c r="S13" s="176"/>
      <c r="T13" s="176"/>
      <c r="U13" s="176"/>
      <c r="V13" s="176"/>
      <c r="W13" s="176"/>
      <c r="X13" s="176"/>
      <c r="Y13" s="176"/>
      <c r="Z13" s="176"/>
      <c r="AA13" s="183"/>
      <c r="AB13" s="183"/>
      <c r="AC13" s="176"/>
      <c r="AD13" s="176"/>
      <c r="AE13" s="176"/>
      <c r="AF13" s="176"/>
      <c r="AG13" s="176"/>
      <c r="AH13" s="176"/>
      <c r="AI13" s="176"/>
      <c r="AJ13" s="178"/>
      <c r="AK13" s="179"/>
    </row>
    <row r="14" spans="4:37" ht="11.25" customHeight="1" thickTop="1">
      <c r="F14" s="966" t="s">
        <v>854</v>
      </c>
      <c r="G14" s="966"/>
      <c r="H14" s="966"/>
      <c r="I14" s="966"/>
      <c r="J14" s="966"/>
      <c r="K14" s="966"/>
      <c r="L14" s="966"/>
      <c r="M14" s="966"/>
      <c r="N14" s="966"/>
      <c r="O14" s="966"/>
      <c r="P14" s="183"/>
      <c r="Q14" s="196"/>
      <c r="R14" s="176"/>
      <c r="S14" s="176"/>
      <c r="T14" s="176"/>
      <c r="U14" s="176"/>
      <c r="V14" s="176"/>
      <c r="W14" s="176"/>
      <c r="X14" s="176"/>
      <c r="Y14" s="176"/>
      <c r="Z14" s="176"/>
      <c r="AA14" s="196"/>
      <c r="AB14" s="196"/>
      <c r="AC14" s="176"/>
      <c r="AD14" s="176"/>
      <c r="AE14" s="176"/>
      <c r="AF14" s="176"/>
      <c r="AG14" s="176"/>
      <c r="AH14" s="176"/>
      <c r="AI14" s="176"/>
      <c r="AJ14" s="178"/>
      <c r="AK14" s="179"/>
    </row>
    <row r="15" spans="4:37" ht="12" hidden="1" customHeight="1">
      <c r="F15" s="966"/>
      <c r="G15" s="966"/>
      <c r="H15" s="966"/>
      <c r="I15" s="966"/>
      <c r="J15" s="966"/>
      <c r="K15" s="966"/>
      <c r="L15" s="966"/>
      <c r="M15" s="966"/>
      <c r="N15" s="966"/>
      <c r="O15" s="966"/>
      <c r="P15" s="183"/>
      <c r="Q15" s="196"/>
      <c r="R15" s="176"/>
      <c r="S15" s="176"/>
      <c r="T15" s="176"/>
      <c r="U15" s="176"/>
      <c r="V15" s="176"/>
      <c r="W15" s="176"/>
      <c r="X15" s="176"/>
      <c r="Y15" s="176"/>
      <c r="Z15" s="176"/>
      <c r="AA15" s="196"/>
      <c r="AB15" s="196"/>
      <c r="AC15" s="176"/>
      <c r="AD15" s="176"/>
      <c r="AE15" s="176"/>
      <c r="AF15" s="176"/>
      <c r="AG15" s="176"/>
      <c r="AH15" s="176"/>
      <c r="AI15" s="176"/>
      <c r="AJ15" s="178"/>
      <c r="AK15" s="179"/>
    </row>
    <row r="16" spans="4:37" ht="12" hidden="1" customHeight="1">
      <c r="F16" s="966"/>
      <c r="G16" s="966"/>
      <c r="H16" s="966"/>
      <c r="I16" s="966"/>
      <c r="J16" s="966"/>
      <c r="K16" s="966"/>
      <c r="L16" s="966"/>
      <c r="M16" s="966"/>
      <c r="N16" s="966"/>
      <c r="O16" s="966"/>
      <c r="P16" s="183"/>
      <c r="Q16" s="196"/>
      <c r="R16" s="176"/>
      <c r="S16" s="176"/>
      <c r="T16" s="176"/>
      <c r="U16" s="176"/>
      <c r="V16" s="176"/>
      <c r="W16" s="176"/>
      <c r="X16" s="176"/>
      <c r="Y16" s="176"/>
      <c r="Z16" s="176"/>
      <c r="AA16" s="196"/>
      <c r="AB16" s="196"/>
      <c r="AC16" s="176"/>
      <c r="AD16" s="176"/>
      <c r="AE16" s="176"/>
      <c r="AF16" s="176"/>
      <c r="AG16" s="176"/>
      <c r="AH16" s="176"/>
      <c r="AI16" s="176"/>
      <c r="AJ16" s="178"/>
      <c r="AK16" s="179"/>
    </row>
    <row r="17" spans="6:37" ht="12" hidden="1" customHeight="1">
      <c r="F17" s="966"/>
      <c r="G17" s="966"/>
      <c r="H17" s="966"/>
      <c r="I17" s="966"/>
      <c r="J17" s="966"/>
      <c r="K17" s="966"/>
      <c r="L17" s="966"/>
      <c r="M17" s="966"/>
      <c r="N17" s="966"/>
      <c r="O17" s="966"/>
      <c r="P17" s="183"/>
      <c r="Q17" s="196"/>
      <c r="R17" s="176"/>
      <c r="S17" s="176"/>
      <c r="T17" s="176"/>
      <c r="U17" s="176"/>
      <c r="V17" s="176"/>
      <c r="W17" s="176"/>
      <c r="X17" s="176"/>
      <c r="Y17" s="176"/>
      <c r="Z17" s="176"/>
      <c r="AA17" s="196"/>
      <c r="AB17" s="196"/>
      <c r="AC17" s="176"/>
      <c r="AD17" s="176"/>
      <c r="AE17" s="176"/>
      <c r="AF17" s="176"/>
      <c r="AG17" s="176"/>
      <c r="AH17" s="176"/>
      <c r="AI17" s="176"/>
      <c r="AJ17" s="178"/>
      <c r="AK17" s="179"/>
    </row>
    <row r="18" spans="6:37" ht="12" hidden="1" customHeight="1">
      <c r="F18" s="966"/>
      <c r="G18" s="966"/>
      <c r="H18" s="966"/>
      <c r="I18" s="966"/>
      <c r="J18" s="966"/>
      <c r="K18" s="966"/>
      <c r="L18" s="966"/>
      <c r="M18" s="966"/>
      <c r="N18" s="966"/>
      <c r="O18" s="966"/>
      <c r="P18" s="183"/>
      <c r="Q18" s="196"/>
      <c r="R18" s="176"/>
      <c r="S18" s="176"/>
      <c r="T18" s="176"/>
      <c r="U18" s="176"/>
      <c r="V18" s="176"/>
      <c r="W18" s="176"/>
      <c r="X18" s="176"/>
      <c r="Y18" s="176"/>
      <c r="Z18" s="176"/>
      <c r="AA18" s="196"/>
      <c r="AB18" s="196"/>
      <c r="AC18" s="176"/>
      <c r="AD18" s="176"/>
      <c r="AE18" s="176"/>
      <c r="AF18" s="176"/>
      <c r="AG18" s="176"/>
      <c r="AH18" s="176"/>
      <c r="AI18" s="176"/>
      <c r="AJ18" s="178"/>
      <c r="AK18" s="179"/>
    </row>
    <row r="19" spans="6:37" ht="12" hidden="1" customHeight="1">
      <c r="F19" s="966"/>
      <c r="G19" s="966"/>
      <c r="H19" s="966"/>
      <c r="I19" s="966"/>
      <c r="J19" s="966"/>
      <c r="K19" s="966"/>
      <c r="L19" s="966"/>
      <c r="M19" s="966"/>
      <c r="N19" s="966"/>
      <c r="O19" s="966"/>
      <c r="P19" s="183"/>
      <c r="Q19" s="196"/>
      <c r="R19" s="176"/>
      <c r="S19" s="176"/>
      <c r="T19" s="176"/>
      <c r="U19" s="176"/>
      <c r="V19" s="176"/>
      <c r="W19" s="176"/>
      <c r="X19" s="176"/>
      <c r="Y19" s="176"/>
      <c r="Z19" s="176"/>
      <c r="AA19" s="196"/>
      <c r="AB19" s="196"/>
      <c r="AC19" s="176"/>
      <c r="AD19" s="176"/>
      <c r="AE19" s="176"/>
      <c r="AF19" s="176"/>
      <c r="AG19" s="176"/>
      <c r="AH19" s="176"/>
      <c r="AI19" s="176"/>
      <c r="AJ19" s="178"/>
      <c r="AK19" s="179"/>
    </row>
    <row r="20" spans="6:37" ht="12" hidden="1" customHeight="1">
      <c r="F20" s="966"/>
      <c r="G20" s="966"/>
      <c r="H20" s="966"/>
      <c r="I20" s="966"/>
      <c r="J20" s="966"/>
      <c r="K20" s="966"/>
      <c r="L20" s="966"/>
      <c r="M20" s="966"/>
      <c r="N20" s="966"/>
      <c r="O20" s="966"/>
      <c r="P20" s="183"/>
      <c r="Q20" s="196"/>
      <c r="R20" s="176"/>
      <c r="S20" s="176"/>
      <c r="T20" s="176"/>
      <c r="U20" s="176"/>
      <c r="V20" s="176"/>
      <c r="W20" s="176"/>
      <c r="X20" s="176"/>
      <c r="Y20" s="176"/>
      <c r="Z20" s="176"/>
      <c r="AA20" s="196"/>
      <c r="AB20" s="196"/>
      <c r="AC20" s="176"/>
      <c r="AD20" s="176"/>
      <c r="AE20" s="176"/>
      <c r="AF20" s="176"/>
      <c r="AG20" s="176"/>
      <c r="AH20" s="176"/>
      <c r="AI20" s="176"/>
      <c r="AJ20" s="178"/>
      <c r="AK20" s="179"/>
    </row>
    <row r="21" spans="6:37" ht="12" hidden="1" customHeight="1">
      <c r="F21" s="966"/>
      <c r="G21" s="966"/>
      <c r="H21" s="966"/>
      <c r="I21" s="966"/>
      <c r="J21" s="966"/>
      <c r="K21" s="966"/>
      <c r="L21" s="966"/>
      <c r="M21" s="966"/>
      <c r="N21" s="966"/>
      <c r="O21" s="966"/>
      <c r="P21" s="183"/>
      <c r="Q21" s="196"/>
      <c r="R21" s="176"/>
      <c r="S21" s="176"/>
      <c r="T21" s="176"/>
      <c r="U21" s="176"/>
      <c r="V21" s="176"/>
      <c r="W21" s="176"/>
      <c r="X21" s="176"/>
      <c r="Y21" s="176"/>
      <c r="Z21" s="176"/>
      <c r="AA21" s="196"/>
      <c r="AB21" s="196"/>
      <c r="AC21" s="176"/>
      <c r="AD21" s="176"/>
      <c r="AE21" s="176"/>
      <c r="AF21" s="176"/>
      <c r="AG21" s="176"/>
      <c r="AH21" s="176"/>
      <c r="AI21" s="176"/>
      <c r="AJ21" s="178"/>
      <c r="AK21" s="179"/>
    </row>
    <row r="22" spans="6:37" ht="12" hidden="1" customHeight="1">
      <c r="F22" s="966"/>
      <c r="G22" s="966"/>
      <c r="H22" s="966"/>
      <c r="I22" s="966"/>
      <c r="J22" s="966"/>
      <c r="K22" s="966"/>
      <c r="L22" s="966"/>
      <c r="M22" s="966"/>
      <c r="N22" s="966"/>
      <c r="O22" s="966"/>
      <c r="P22" s="183"/>
      <c r="Q22" s="196"/>
      <c r="R22" s="176"/>
      <c r="S22" s="176"/>
      <c r="T22" s="176"/>
      <c r="U22" s="176"/>
      <c r="V22" s="176"/>
      <c r="W22" s="176"/>
      <c r="X22" s="176"/>
      <c r="Y22" s="176"/>
      <c r="Z22" s="176"/>
      <c r="AA22" s="196"/>
      <c r="AB22" s="196"/>
      <c r="AC22" s="176"/>
      <c r="AD22" s="176"/>
      <c r="AE22" s="176"/>
      <c r="AF22" s="176"/>
      <c r="AG22" s="176"/>
      <c r="AH22" s="176"/>
      <c r="AI22" s="176"/>
      <c r="AJ22" s="178"/>
      <c r="AK22" s="179"/>
    </row>
    <row r="23" spans="6:37" ht="12" hidden="1" customHeight="1">
      <c r="F23" s="966"/>
      <c r="G23" s="966"/>
      <c r="H23" s="966"/>
      <c r="I23" s="966"/>
      <c r="J23" s="966"/>
      <c r="K23" s="966"/>
      <c r="L23" s="966"/>
      <c r="M23" s="966"/>
      <c r="N23" s="966"/>
      <c r="O23" s="966"/>
      <c r="P23" s="183"/>
      <c r="Q23" s="196"/>
      <c r="R23" s="176"/>
      <c r="S23" s="176"/>
      <c r="T23" s="176"/>
      <c r="U23" s="176"/>
      <c r="V23" s="176"/>
      <c r="W23" s="176"/>
      <c r="X23" s="176"/>
      <c r="Y23" s="176"/>
      <c r="Z23" s="176"/>
      <c r="AA23" s="196"/>
      <c r="AB23" s="196"/>
      <c r="AC23" s="176"/>
      <c r="AD23" s="176"/>
      <c r="AE23" s="176"/>
      <c r="AF23" s="176"/>
      <c r="AG23" s="176"/>
      <c r="AH23" s="176"/>
      <c r="AI23" s="176"/>
      <c r="AJ23" s="178"/>
      <c r="AK23" s="179"/>
    </row>
    <row r="24" spans="6:37" ht="12" hidden="1" customHeight="1">
      <c r="F24" s="966"/>
      <c r="G24" s="966"/>
      <c r="H24" s="966"/>
      <c r="I24" s="966"/>
      <c r="J24" s="966"/>
      <c r="K24" s="966"/>
      <c r="L24" s="966"/>
      <c r="M24" s="966"/>
      <c r="N24" s="966"/>
      <c r="O24" s="966"/>
      <c r="P24" s="183"/>
      <c r="Q24" s="196"/>
      <c r="R24" s="176"/>
      <c r="S24" s="176"/>
      <c r="T24" s="176"/>
      <c r="U24" s="176"/>
      <c r="V24" s="176"/>
      <c r="W24" s="176"/>
      <c r="X24" s="176"/>
      <c r="Y24" s="176"/>
      <c r="Z24" s="176"/>
      <c r="AA24" s="196"/>
      <c r="AB24" s="196"/>
      <c r="AC24" s="176"/>
      <c r="AD24" s="176"/>
      <c r="AE24" s="176"/>
      <c r="AF24" s="176"/>
      <c r="AG24" s="176"/>
      <c r="AH24" s="176"/>
      <c r="AI24" s="176"/>
      <c r="AJ24" s="178"/>
      <c r="AK24" s="179"/>
    </row>
    <row r="25" spans="6:37" ht="12" hidden="1" customHeight="1"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183"/>
      <c r="Q25" s="196"/>
      <c r="R25" s="176"/>
      <c r="S25" s="176"/>
      <c r="T25" s="176"/>
      <c r="U25" s="176"/>
      <c r="V25" s="176"/>
      <c r="W25" s="176"/>
      <c r="X25" s="176"/>
      <c r="Y25" s="176"/>
      <c r="Z25" s="176"/>
      <c r="AA25" s="196"/>
      <c r="AB25" s="196"/>
      <c r="AC25" s="176"/>
      <c r="AD25" s="176"/>
      <c r="AE25" s="176"/>
      <c r="AF25" s="176"/>
      <c r="AG25" s="176"/>
      <c r="AH25" s="176"/>
      <c r="AI25" s="176"/>
      <c r="AJ25" s="178"/>
      <c r="AK25" s="179"/>
    </row>
    <row r="26" spans="6:37" ht="10.5" customHeight="1"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183"/>
      <c r="Q26" s="196"/>
      <c r="R26" s="176"/>
      <c r="S26" s="176"/>
      <c r="T26" s="176"/>
      <c r="U26" s="176"/>
      <c r="V26" s="176"/>
      <c r="W26" s="176"/>
      <c r="X26" s="176"/>
      <c r="Y26" s="176"/>
      <c r="Z26" s="176"/>
      <c r="AA26" s="196"/>
      <c r="AB26" s="196"/>
      <c r="AC26" s="176"/>
      <c r="AD26" s="176"/>
      <c r="AE26" s="176"/>
      <c r="AF26" s="176"/>
      <c r="AG26" s="176"/>
      <c r="AH26" s="176"/>
      <c r="AI26" s="176"/>
      <c r="AJ26" s="178"/>
      <c r="AK26" s="179"/>
    </row>
    <row r="27" spans="6:37" ht="5.25" customHeight="1">
      <c r="F27" s="966"/>
      <c r="G27" s="966"/>
      <c r="H27" s="966"/>
      <c r="I27" s="966"/>
      <c r="J27" s="966"/>
      <c r="K27" s="966"/>
      <c r="L27" s="966"/>
      <c r="M27" s="966"/>
      <c r="N27" s="966"/>
      <c r="O27" s="966"/>
      <c r="P27" s="183"/>
      <c r="Q27" s="196"/>
      <c r="R27" s="176"/>
      <c r="S27" s="176"/>
      <c r="T27" s="176"/>
      <c r="U27" s="176"/>
      <c r="V27" s="176"/>
      <c r="W27" s="176"/>
      <c r="X27" s="176"/>
      <c r="Y27" s="176"/>
      <c r="Z27" s="176"/>
      <c r="AB27" s="196"/>
      <c r="AC27" s="176"/>
      <c r="AD27" s="176"/>
      <c r="AE27" s="176"/>
      <c r="AF27" s="176"/>
      <c r="AG27" s="176"/>
      <c r="AH27" s="176"/>
      <c r="AI27" s="176"/>
      <c r="AJ27" s="178"/>
      <c r="AK27" s="179"/>
    </row>
    <row r="28" spans="6:37" ht="13.5" customHeight="1" thickBot="1">
      <c r="F28" s="966"/>
      <c r="G28" s="966"/>
      <c r="H28" s="966"/>
      <c r="I28" s="966"/>
      <c r="J28" s="966"/>
      <c r="K28" s="966"/>
      <c r="L28" s="966"/>
      <c r="M28" s="966"/>
      <c r="N28" s="966"/>
      <c r="O28" s="966"/>
      <c r="P28" s="183"/>
      <c r="Q28" s="196"/>
      <c r="R28" s="176"/>
      <c r="S28" s="176"/>
      <c r="T28" s="176"/>
      <c r="U28" s="176"/>
      <c r="V28" s="176"/>
      <c r="W28" s="957" t="s">
        <v>855</v>
      </c>
      <c r="X28" s="957"/>
      <c r="Y28" s="957"/>
      <c r="Z28" s="176"/>
      <c r="AB28" s="196"/>
      <c r="AC28" s="176"/>
      <c r="AD28" s="176"/>
      <c r="AE28" s="176"/>
      <c r="AF28" s="176"/>
      <c r="AG28" s="176"/>
      <c r="AH28" s="176"/>
      <c r="AI28" s="176"/>
      <c r="AJ28" s="178"/>
      <c r="AK28" s="179"/>
    </row>
    <row r="29" spans="6:37" ht="8.25" customHeight="1" thickTop="1">
      <c r="F29" s="199"/>
      <c r="G29" s="199"/>
      <c r="H29" s="200"/>
      <c r="I29" s="200"/>
      <c r="J29" s="200"/>
      <c r="K29" s="200"/>
      <c r="L29" s="200"/>
      <c r="M29" s="199"/>
      <c r="N29" s="199"/>
      <c r="O29" s="199"/>
      <c r="P29" s="201"/>
      <c r="Q29" s="202"/>
      <c r="R29" s="176"/>
      <c r="S29" s="176"/>
      <c r="T29" s="176"/>
      <c r="U29" s="176"/>
      <c r="V29" s="176"/>
      <c r="W29" s="957"/>
      <c r="X29" s="957"/>
      <c r="Y29" s="957"/>
      <c r="Z29" s="176"/>
      <c r="AA29" s="191"/>
      <c r="AB29" s="191"/>
      <c r="AC29" s="176"/>
      <c r="AD29" s="176"/>
      <c r="AE29" s="176"/>
      <c r="AF29" s="176"/>
      <c r="AG29" s="176"/>
      <c r="AH29" s="176"/>
      <c r="AI29" s="176"/>
      <c r="AJ29" s="174"/>
      <c r="AK29" s="179"/>
    </row>
    <row r="30" spans="6:37" ht="18" customHeight="1">
      <c r="P30" s="205"/>
      <c r="Q30" s="191"/>
      <c r="R30" s="176"/>
      <c r="S30" s="176"/>
      <c r="T30" s="176"/>
      <c r="U30" s="176"/>
      <c r="V30" s="176"/>
      <c r="W30" s="206"/>
      <c r="X30" s="206"/>
      <c r="Y30" s="206"/>
      <c r="Z30" s="176"/>
      <c r="AA30" s="191"/>
      <c r="AB30" s="191"/>
      <c r="AC30" s="176"/>
      <c r="AD30" s="176"/>
      <c r="AE30" s="176"/>
      <c r="AF30" s="176"/>
      <c r="AG30" s="176"/>
      <c r="AH30" s="176"/>
      <c r="AI30" s="176"/>
      <c r="AJ30" s="163"/>
      <c r="AK30" s="207"/>
    </row>
    <row r="31" spans="6:37" ht="11.25" customHeight="1">
      <c r="P31" s="205"/>
      <c r="Q31" s="191"/>
      <c r="S31" s="176"/>
      <c r="T31" s="176"/>
      <c r="U31" s="176"/>
      <c r="V31" s="176"/>
      <c r="W31" s="176"/>
      <c r="X31" s="176"/>
      <c r="Y31" s="176"/>
      <c r="Z31" s="176"/>
      <c r="AA31" s="191"/>
      <c r="AB31" s="191"/>
      <c r="AC31" s="176"/>
      <c r="AD31" s="176"/>
      <c r="AE31" s="176"/>
      <c r="AF31" s="176"/>
      <c r="AG31" s="176"/>
      <c r="AH31" s="176"/>
      <c r="AI31" s="176"/>
      <c r="AJ31" s="163"/>
      <c r="AK31" s="207"/>
    </row>
    <row r="32" spans="6:37" ht="15" customHeight="1">
      <c r="P32" s="197"/>
      <c r="Q32" s="163"/>
      <c r="S32" s="176"/>
      <c r="T32" s="176"/>
      <c r="U32" s="176"/>
      <c r="V32" s="176"/>
      <c r="W32" s="176"/>
      <c r="Y32" s="176"/>
      <c r="Z32" s="176"/>
      <c r="AA32" s="163"/>
      <c r="AB32" s="163"/>
      <c r="AC32" s="176"/>
      <c r="AD32" s="176"/>
      <c r="AE32" s="176"/>
      <c r="AF32" s="176"/>
      <c r="AG32" s="176"/>
      <c r="AH32" s="176"/>
      <c r="AI32" s="176"/>
      <c r="AJ32" s="163"/>
      <c r="AK32" s="207"/>
    </row>
    <row r="33" spans="16:37" ht="15" customHeight="1">
      <c r="P33" s="197"/>
      <c r="Q33" s="163"/>
      <c r="S33" s="176"/>
      <c r="T33" s="176"/>
      <c r="U33" s="176"/>
      <c r="V33" s="176"/>
      <c r="W33" s="176"/>
      <c r="X33" s="176"/>
      <c r="Y33" s="176"/>
      <c r="Z33" s="176"/>
      <c r="AA33" s="163"/>
      <c r="AB33" s="163"/>
      <c r="AC33" s="176"/>
      <c r="AD33" s="176"/>
      <c r="AE33" s="176"/>
      <c r="AF33" s="176"/>
      <c r="AG33" s="176"/>
      <c r="AH33" s="176"/>
      <c r="AI33" s="176"/>
      <c r="AJ33" s="163"/>
      <c r="AK33" s="207"/>
    </row>
    <row r="34" spans="16:37" ht="15" customHeight="1">
      <c r="P34" s="174"/>
      <c r="Q34" s="174"/>
      <c r="T34" s="176"/>
      <c r="U34" s="176"/>
      <c r="V34" s="176"/>
      <c r="W34" s="176"/>
      <c r="X34" s="176"/>
      <c r="Y34" s="176"/>
      <c r="Z34" s="176"/>
      <c r="AA34" s="163"/>
      <c r="AB34" s="163"/>
      <c r="AC34" s="176"/>
      <c r="AD34" s="176"/>
      <c r="AE34" s="176"/>
      <c r="AF34" s="176"/>
      <c r="AG34" s="176"/>
      <c r="AH34" s="176"/>
      <c r="AI34" s="176"/>
      <c r="AJ34" s="163"/>
      <c r="AK34" s="207"/>
    </row>
    <row r="35" spans="16:37" ht="15" customHeight="1">
      <c r="P35" s="174"/>
      <c r="Q35" s="174"/>
      <c r="T35" s="176"/>
      <c r="U35" s="176"/>
      <c r="V35" s="176"/>
      <c r="W35" s="176"/>
      <c r="X35" s="176"/>
      <c r="Y35" s="176"/>
      <c r="Z35" s="176"/>
      <c r="AA35" s="163"/>
      <c r="AB35" s="163"/>
      <c r="AC35" s="176"/>
      <c r="AD35" s="176"/>
      <c r="AE35" s="176"/>
      <c r="AF35" s="176"/>
      <c r="AG35" s="176"/>
      <c r="AH35" s="176"/>
      <c r="AI35" s="176"/>
      <c r="AJ35" s="163"/>
      <c r="AK35" s="207"/>
    </row>
    <row r="36" spans="16:37" ht="15" customHeight="1">
      <c r="P36" s="174"/>
      <c r="Q36" s="174"/>
      <c r="T36" s="176"/>
      <c r="U36" s="176"/>
      <c r="V36" s="176"/>
      <c r="W36" s="176"/>
      <c r="X36" s="176"/>
      <c r="Y36" s="176"/>
      <c r="Z36" s="176"/>
      <c r="AA36" s="163"/>
      <c r="AB36" s="163"/>
      <c r="AC36" s="176"/>
      <c r="AD36" s="176"/>
      <c r="AE36" s="176"/>
      <c r="AF36" s="176"/>
      <c r="AG36" s="176"/>
      <c r="AH36" s="176"/>
      <c r="AI36" s="176"/>
      <c r="AJ36" s="163"/>
      <c r="AK36" s="207"/>
    </row>
    <row r="37" spans="16:37" ht="15" customHeight="1">
      <c r="P37" s="197"/>
      <c r="Q37" s="163"/>
      <c r="T37" s="176"/>
      <c r="U37" s="176"/>
      <c r="V37" s="176"/>
      <c r="W37" s="176"/>
      <c r="X37" s="176"/>
      <c r="Y37" s="176"/>
      <c r="Z37" s="176"/>
      <c r="AA37" s="163"/>
      <c r="AB37" s="163"/>
      <c r="AC37" s="176"/>
      <c r="AD37" s="176"/>
      <c r="AE37" s="176"/>
      <c r="AF37" s="176"/>
      <c r="AG37" s="176"/>
      <c r="AH37" s="176"/>
      <c r="AI37" s="176"/>
      <c r="AJ37" s="163"/>
      <c r="AK37" s="207"/>
    </row>
    <row r="38" spans="16:37" ht="15" customHeight="1">
      <c r="P38" s="197"/>
      <c r="Q38" s="163"/>
      <c r="T38" s="176"/>
      <c r="U38" s="176"/>
      <c r="V38" s="176"/>
      <c r="W38" s="176"/>
      <c r="X38" s="176"/>
      <c r="Y38" s="176"/>
      <c r="Z38" s="176"/>
      <c r="AA38" s="163"/>
      <c r="AB38" s="163"/>
      <c r="AC38" s="176"/>
      <c r="AD38" s="176"/>
      <c r="AE38" s="176"/>
      <c r="AF38" s="176"/>
      <c r="AG38" s="176"/>
      <c r="AH38" s="176"/>
      <c r="AI38" s="176"/>
      <c r="AJ38" s="163"/>
      <c r="AK38" s="207"/>
    </row>
    <row r="39" spans="16:37" ht="15" customHeight="1">
      <c r="P39" s="197"/>
      <c r="Q39" s="163"/>
      <c r="T39" s="176"/>
      <c r="U39" s="176"/>
      <c r="V39" s="176"/>
      <c r="W39" s="176"/>
      <c r="X39" s="176"/>
      <c r="Y39" s="176"/>
      <c r="Z39" s="176"/>
      <c r="AA39" s="163"/>
      <c r="AB39" s="163"/>
      <c r="AC39" s="176"/>
      <c r="AD39" s="176"/>
      <c r="AE39" s="176"/>
      <c r="AF39" s="176"/>
      <c r="AG39" s="176"/>
      <c r="AH39" s="176"/>
      <c r="AI39" s="176"/>
      <c r="AJ39" s="163"/>
      <c r="AK39" s="207"/>
    </row>
    <row r="40" spans="16:37" ht="15" customHeight="1">
      <c r="P40" s="197"/>
      <c r="Q40" s="163"/>
      <c r="T40" s="176"/>
      <c r="U40" s="176"/>
      <c r="V40" s="176"/>
      <c r="W40" s="176"/>
      <c r="X40" s="176"/>
      <c r="Y40" s="176"/>
      <c r="Z40" s="176"/>
      <c r="AA40" s="163"/>
      <c r="AB40" s="163"/>
      <c r="AC40" s="176"/>
      <c r="AD40" s="176"/>
      <c r="AE40" s="176"/>
      <c r="AF40" s="176"/>
      <c r="AG40" s="176"/>
      <c r="AH40" s="176"/>
      <c r="AI40" s="176"/>
      <c r="AJ40" s="163"/>
      <c r="AK40" s="207"/>
    </row>
    <row r="41" spans="16:37" ht="15" customHeight="1">
      <c r="P41" s="197"/>
      <c r="Q41" s="163"/>
      <c r="T41" s="176"/>
      <c r="U41" s="176"/>
      <c r="V41" s="176"/>
      <c r="W41" s="176"/>
      <c r="X41" s="176"/>
      <c r="Y41" s="176"/>
      <c r="Z41" s="176"/>
      <c r="AA41" s="163"/>
      <c r="AB41" s="163"/>
      <c r="AC41" s="176"/>
      <c r="AD41" s="176"/>
      <c r="AE41" s="176"/>
      <c r="AF41" s="176"/>
      <c r="AG41" s="176"/>
      <c r="AH41" s="176"/>
      <c r="AI41" s="176"/>
      <c r="AJ41" s="163"/>
      <c r="AK41" s="207"/>
    </row>
    <row r="42" spans="16:37" ht="15" customHeight="1">
      <c r="P42" s="197"/>
      <c r="Q42" s="163"/>
      <c r="T42" s="176"/>
      <c r="U42" s="176"/>
      <c r="V42" s="176"/>
      <c r="W42" s="176"/>
      <c r="X42" s="176"/>
      <c r="Y42" s="176"/>
      <c r="Z42" s="176"/>
      <c r="AA42" s="163"/>
      <c r="AB42" s="163"/>
      <c r="AC42" s="176"/>
      <c r="AD42" s="176"/>
      <c r="AE42" s="176"/>
      <c r="AF42" s="176"/>
      <c r="AG42" s="176"/>
      <c r="AH42" s="176"/>
      <c r="AI42" s="176"/>
      <c r="AJ42" s="163"/>
      <c r="AK42" s="207"/>
    </row>
    <row r="43" spans="16:37" ht="15" customHeight="1">
      <c r="P43" s="197"/>
      <c r="Q43" s="163"/>
      <c r="R43" s="163"/>
      <c r="S43" s="176"/>
      <c r="T43" s="176"/>
      <c r="U43" s="176"/>
      <c r="V43" s="176"/>
      <c r="W43" s="176"/>
      <c r="X43" s="176"/>
      <c r="Y43" s="176"/>
      <c r="Z43" s="176"/>
      <c r="AA43" s="163"/>
      <c r="AB43" s="163"/>
      <c r="AC43" s="176"/>
      <c r="AD43" s="176"/>
      <c r="AE43" s="176"/>
      <c r="AF43" s="176"/>
      <c r="AG43" s="176"/>
      <c r="AH43" s="176"/>
      <c r="AI43" s="176"/>
      <c r="AJ43" s="163"/>
      <c r="AK43" s="207"/>
    </row>
    <row r="44" spans="16:37" ht="14.25" customHeight="1">
      <c r="P44" s="197"/>
      <c r="Q44" s="163"/>
      <c r="R44" s="163"/>
      <c r="S44" s="176"/>
      <c r="T44" s="176"/>
      <c r="U44" s="176"/>
      <c r="V44" s="176"/>
      <c r="W44" s="176"/>
      <c r="X44" s="176"/>
      <c r="Y44" s="176"/>
      <c r="Z44" s="176"/>
      <c r="AA44" s="163"/>
      <c r="AB44" s="163"/>
      <c r="AC44" s="176"/>
      <c r="AD44" s="176"/>
      <c r="AE44" s="176"/>
      <c r="AF44" s="176"/>
      <c r="AG44" s="176"/>
      <c r="AH44" s="176"/>
      <c r="AI44" s="176"/>
      <c r="AJ44" s="163"/>
      <c r="AK44" s="207"/>
    </row>
    <row r="45" spans="16:37" ht="14.25" customHeight="1">
      <c r="P45" s="197"/>
      <c r="Q45" s="163"/>
      <c r="R45" s="163"/>
      <c r="S45" s="176"/>
      <c r="T45" s="176"/>
      <c r="U45" s="208"/>
      <c r="AC45" s="176"/>
      <c r="AD45" s="176"/>
      <c r="AE45" s="176"/>
      <c r="AF45" s="176"/>
      <c r="AG45" s="176"/>
      <c r="AH45" s="176"/>
      <c r="AI45" s="176"/>
      <c r="AJ45" s="163"/>
      <c r="AK45" s="207"/>
    </row>
    <row r="46" spans="16:37" ht="6.75" customHeight="1" thickBot="1">
      <c r="P46" s="210"/>
      <c r="Q46" s="163"/>
      <c r="R46" s="163"/>
      <c r="S46" s="176"/>
      <c r="T46" s="176"/>
      <c r="U46" s="176"/>
      <c r="AC46" s="176"/>
      <c r="AD46" s="176"/>
      <c r="AE46" s="176"/>
      <c r="AF46" s="176"/>
      <c r="AG46" s="176"/>
      <c r="AH46" s="176"/>
      <c r="AI46" s="176"/>
      <c r="AJ46" s="163"/>
      <c r="AK46" s="207"/>
    </row>
    <row r="47" spans="16:37" ht="14.25" customHeight="1" thickTop="1">
      <c r="P47" s="163"/>
      <c r="Q47" s="163"/>
      <c r="R47" s="163"/>
      <c r="S47" s="176"/>
      <c r="T47" s="176"/>
      <c r="U47" s="176"/>
      <c r="V47" s="176"/>
      <c r="W47" s="176"/>
      <c r="X47" s="176"/>
      <c r="Y47" s="176"/>
      <c r="Z47" s="176"/>
      <c r="AA47" s="163"/>
      <c r="AB47" s="163"/>
      <c r="AC47" s="176"/>
      <c r="AD47" s="176"/>
      <c r="AE47" s="176"/>
      <c r="AF47" s="176"/>
      <c r="AG47" s="176"/>
      <c r="AH47" s="176"/>
      <c r="AI47" s="176"/>
      <c r="AJ47" s="163"/>
      <c r="AK47" s="207"/>
    </row>
    <row r="48" spans="16:37" ht="14.25" customHeight="1">
      <c r="P48" s="163"/>
      <c r="Q48" s="163"/>
      <c r="R48" s="163"/>
      <c r="S48" s="176"/>
      <c r="T48" s="176"/>
      <c r="V48" s="176"/>
      <c r="W48" s="176"/>
      <c r="X48" s="176"/>
      <c r="Y48" s="176"/>
      <c r="Z48" s="176"/>
      <c r="AA48" s="163"/>
      <c r="AB48" s="163"/>
      <c r="AC48" s="163"/>
      <c r="AD48" s="163"/>
      <c r="AE48" s="163"/>
      <c r="AJ48" s="163"/>
      <c r="AK48" s="207"/>
    </row>
    <row r="49" spans="6:37" ht="9.75" customHeight="1">
      <c r="P49" s="163"/>
      <c r="Q49" s="163"/>
      <c r="R49" s="163"/>
      <c r="S49" s="176"/>
      <c r="T49" s="176"/>
      <c r="V49" s="176"/>
      <c r="W49" s="176"/>
      <c r="X49" s="176"/>
      <c r="Y49" s="176"/>
      <c r="Z49" s="176"/>
      <c r="AA49" s="163"/>
      <c r="AB49" s="163"/>
      <c r="AC49" s="163"/>
      <c r="AD49" s="163"/>
      <c r="AE49" s="163"/>
      <c r="AJ49" s="163"/>
      <c r="AK49" s="207"/>
    </row>
    <row r="50" spans="6:37" ht="10.5" customHeight="1">
      <c r="P50" s="163"/>
      <c r="Q50" s="163"/>
      <c r="R50" s="163"/>
      <c r="S50" s="176"/>
      <c r="T50" s="176"/>
      <c r="V50" s="176"/>
      <c r="W50" s="176"/>
      <c r="X50" s="176"/>
      <c r="Y50" s="176"/>
      <c r="Z50" s="176"/>
      <c r="AA50" s="163"/>
      <c r="AB50" s="163"/>
      <c r="AC50" s="163"/>
      <c r="AD50" s="163"/>
      <c r="AE50" s="163"/>
      <c r="AJ50" s="163"/>
      <c r="AK50" s="207"/>
    </row>
    <row r="51" spans="6:37" ht="11.25" customHeight="1">
      <c r="P51" s="290"/>
      <c r="Q51" s="290"/>
      <c r="R51" s="290"/>
      <c r="S51" s="290"/>
      <c r="T51" s="290"/>
      <c r="U51" s="176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J51" s="163"/>
      <c r="AK51" s="207"/>
    </row>
    <row r="52" spans="6:37" ht="9.75" customHeight="1">
      <c r="P52" s="290"/>
      <c r="Q52" s="290"/>
      <c r="R52" s="290"/>
      <c r="S52" s="290"/>
      <c r="T52" s="290"/>
      <c r="U52" s="176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J52" s="163"/>
      <c r="AK52" s="207"/>
    </row>
    <row r="53" spans="6:37" ht="11.25" customHeight="1">
      <c r="P53" s="290"/>
      <c r="Q53" s="290"/>
      <c r="R53" s="290"/>
      <c r="S53" s="290"/>
      <c r="T53" s="290"/>
      <c r="U53" s="163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13"/>
      <c r="AJ53" s="163"/>
      <c r="AK53" s="207"/>
    </row>
    <row r="54" spans="6:37" ht="11.25" customHeight="1">
      <c r="P54" s="174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214"/>
      <c r="AH54" s="214"/>
      <c r="AI54" s="213"/>
      <c r="AJ54" s="163"/>
      <c r="AK54" s="207"/>
    </row>
    <row r="55" spans="6:37" ht="11.25" customHeight="1">
      <c r="P55" s="174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J55" s="163"/>
      <c r="AK55" s="207"/>
    </row>
    <row r="56" spans="6:37" ht="11.25" customHeight="1">
      <c r="F56" s="163"/>
      <c r="G56" s="163"/>
      <c r="H56" s="163"/>
      <c r="I56" s="163"/>
      <c r="J56" s="163"/>
      <c r="K56" s="163"/>
      <c r="L56" s="163"/>
      <c r="M56" s="163"/>
      <c r="N56" s="163"/>
      <c r="O56" s="212"/>
      <c r="P56" s="174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J56" s="163"/>
      <c r="AK56" s="207"/>
    </row>
    <row r="57" spans="6:37" ht="11.25" customHeight="1">
      <c r="F57" s="163"/>
      <c r="G57" s="163"/>
      <c r="H57" s="163"/>
      <c r="I57" s="163"/>
      <c r="J57" s="163"/>
      <c r="K57" s="163"/>
      <c r="L57" s="163"/>
      <c r="M57" s="163"/>
      <c r="N57" s="163"/>
      <c r="O57" s="212"/>
      <c r="P57" s="174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207"/>
    </row>
    <row r="58" spans="6:37" ht="11.25" customHeight="1">
      <c r="F58" s="163"/>
      <c r="G58" s="163"/>
      <c r="H58" s="163"/>
      <c r="I58" s="163"/>
      <c r="J58" s="163"/>
      <c r="K58" s="163"/>
      <c r="L58" s="163"/>
      <c r="M58" s="163"/>
      <c r="N58" s="163"/>
      <c r="O58" s="212"/>
      <c r="P58" s="174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214"/>
      <c r="AH58" s="214"/>
      <c r="AI58" s="213"/>
      <c r="AJ58" s="163"/>
      <c r="AK58" s="207"/>
    </row>
    <row r="59" spans="6:37" ht="11.25" customHeight="1">
      <c r="F59" s="163"/>
      <c r="G59" s="163"/>
      <c r="H59" s="163"/>
      <c r="I59" s="163"/>
      <c r="J59" s="163"/>
      <c r="K59" s="163"/>
      <c r="L59" s="163"/>
      <c r="M59" s="163"/>
      <c r="N59" s="163"/>
      <c r="O59" s="215"/>
      <c r="P59" s="174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214"/>
      <c r="AH59" s="214"/>
      <c r="AI59" s="213"/>
      <c r="AJ59" s="163"/>
      <c r="AK59" s="207"/>
    </row>
    <row r="60" spans="6:37" ht="11.25" customHeight="1">
      <c r="F60" s="163"/>
      <c r="G60" s="163"/>
      <c r="H60" s="163"/>
      <c r="I60" s="163"/>
      <c r="J60" s="163"/>
      <c r="K60" s="163"/>
      <c r="L60" s="163"/>
      <c r="M60" s="163"/>
      <c r="N60" s="163"/>
      <c r="O60" s="215"/>
      <c r="P60" s="174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214"/>
      <c r="AH60" s="214"/>
      <c r="AI60" s="213"/>
      <c r="AJ60" s="163"/>
      <c r="AK60" s="207"/>
    </row>
    <row r="61" spans="6:37" ht="12.75" hidden="1" customHeight="1">
      <c r="F61" s="163"/>
      <c r="G61" s="163"/>
      <c r="H61" s="163"/>
      <c r="I61" s="163"/>
      <c r="J61" s="163"/>
      <c r="K61" s="163"/>
      <c r="L61" s="163"/>
      <c r="M61" s="163"/>
      <c r="N61" s="163"/>
      <c r="O61" s="215"/>
      <c r="P61" s="174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214"/>
      <c r="AH61" s="214"/>
      <c r="AI61" s="213"/>
      <c r="AJ61" s="163"/>
      <c r="AK61" s="207"/>
    </row>
    <row r="62" spans="6:37" ht="12.75" hidden="1" customHeight="1">
      <c r="F62" s="163"/>
      <c r="G62" s="163"/>
      <c r="H62" s="163"/>
      <c r="I62" s="163"/>
      <c r="J62" s="163"/>
      <c r="K62" s="163"/>
      <c r="L62" s="163"/>
      <c r="M62" s="163"/>
      <c r="N62" s="163"/>
      <c r="O62" s="215"/>
      <c r="P62" s="174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291">
        <f>'фундамент закулисье'!H14</f>
        <v>1.3192459967723988</v>
      </c>
      <c r="AD62" s="291"/>
      <c r="AE62" s="291"/>
      <c r="AF62" s="291"/>
      <c r="AG62" s="214"/>
      <c r="AH62" s="214"/>
      <c r="AI62" s="213"/>
      <c r="AJ62" s="163"/>
      <c r="AK62" s="207"/>
    </row>
    <row r="63" spans="6:37" ht="11.25" customHeight="1">
      <c r="F63" s="163"/>
      <c r="G63" s="163"/>
      <c r="H63" s="163"/>
      <c r="I63" s="163"/>
      <c r="J63" s="163"/>
      <c r="K63" s="163"/>
      <c r="L63" s="163"/>
      <c r="M63" s="163"/>
      <c r="N63" s="163"/>
      <c r="O63" s="215"/>
      <c r="P63" s="174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291"/>
      <c r="AD63" s="291"/>
      <c r="AE63" s="291"/>
      <c r="AF63" s="291"/>
      <c r="AG63" s="955">
        <f>AC62-0.24</f>
        <v>1.0792459967723989</v>
      </c>
      <c r="AH63" s="956"/>
      <c r="AI63" s="956"/>
      <c r="AJ63" s="956"/>
      <c r="AK63" s="207"/>
    </row>
    <row r="64" spans="6:37" ht="11.25" customHeight="1">
      <c r="F64" s="163"/>
      <c r="G64" s="163"/>
      <c r="H64" s="163"/>
      <c r="I64" s="163"/>
      <c r="J64" s="163"/>
      <c r="K64" s="163"/>
      <c r="L64" s="163"/>
      <c r="M64" s="163"/>
      <c r="N64" s="163"/>
      <c r="O64" s="215"/>
      <c r="P64" s="174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291"/>
      <c r="AD64" s="291"/>
      <c r="AE64" s="291"/>
      <c r="AF64" s="291"/>
      <c r="AG64" s="956"/>
      <c r="AH64" s="956"/>
      <c r="AI64" s="956"/>
      <c r="AJ64" s="956"/>
      <c r="AK64" s="207"/>
    </row>
    <row r="65" spans="1:37" ht="10.9" customHeight="1">
      <c r="F65" s="163"/>
      <c r="G65" s="163"/>
      <c r="H65" s="163"/>
      <c r="I65" s="163"/>
      <c r="J65" s="163"/>
      <c r="K65" s="163"/>
      <c r="L65" s="163"/>
      <c r="M65" s="163"/>
      <c r="N65" s="163"/>
      <c r="O65" s="215"/>
      <c r="P65" s="174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214"/>
      <c r="AH65" s="214"/>
      <c r="AI65" s="213"/>
      <c r="AJ65" s="163"/>
      <c r="AK65" s="207"/>
    </row>
    <row r="66" spans="1:37" ht="11.25" customHeight="1">
      <c r="F66" s="163"/>
      <c r="G66" s="163"/>
      <c r="H66" s="163"/>
      <c r="I66" s="163"/>
      <c r="J66" s="163"/>
      <c r="K66" s="163"/>
      <c r="L66" s="163"/>
      <c r="M66" s="163"/>
      <c r="N66" s="163"/>
      <c r="O66" s="215"/>
      <c r="P66" s="174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214"/>
      <c r="AH66" s="214"/>
      <c r="AI66" s="213"/>
      <c r="AJ66" s="163"/>
      <c r="AK66" s="207"/>
    </row>
    <row r="67" spans="1:37" ht="12.75" hidden="1" customHeight="1" thickBot="1">
      <c r="A67" s="172">
        <f>G147+1</f>
        <v>60</v>
      </c>
      <c r="B67" s="173"/>
      <c r="C67" s="173">
        <f>I147</f>
        <v>340</v>
      </c>
      <c r="D67" s="174"/>
      <c r="E67" s="174"/>
      <c r="F67" s="163"/>
      <c r="G67" s="163"/>
      <c r="H67" s="163"/>
      <c r="I67" s="163"/>
      <c r="J67" s="163"/>
      <c r="K67" s="163"/>
      <c r="L67" s="163"/>
      <c r="M67" s="163"/>
      <c r="N67" s="163"/>
      <c r="O67" s="212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214"/>
      <c r="AH67" s="214"/>
      <c r="AI67" s="213"/>
      <c r="AJ67" s="163"/>
      <c r="AK67" s="207"/>
    </row>
    <row r="68" spans="1:37" ht="12.75" hidden="1" customHeight="1" thickTop="1">
      <c r="A68" s="172">
        <f t="shared" ref="A68:A75" si="0">A67+1</f>
        <v>61</v>
      </c>
      <c r="B68" s="172"/>
      <c r="C68" s="172">
        <f t="shared" ref="C68:C75" si="1">C67</f>
        <v>340</v>
      </c>
      <c r="D68" s="211"/>
      <c r="E68" s="211"/>
      <c r="F68" s="216"/>
      <c r="G68" s="217"/>
      <c r="H68" s="217"/>
      <c r="I68" s="217"/>
      <c r="J68" s="217"/>
      <c r="K68" s="217"/>
      <c r="L68" s="217"/>
      <c r="M68" s="218"/>
      <c r="N68" s="163"/>
      <c r="O68" s="212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214"/>
      <c r="AH68" s="214"/>
      <c r="AI68" s="213"/>
      <c r="AJ68" s="163"/>
      <c r="AK68" s="207"/>
    </row>
    <row r="69" spans="1:37" ht="12.75" hidden="1" customHeight="1">
      <c r="A69" s="172">
        <f t="shared" si="0"/>
        <v>62</v>
      </c>
      <c r="B69" s="172"/>
      <c r="C69" s="172">
        <f t="shared" si="1"/>
        <v>340</v>
      </c>
      <c r="D69" s="211"/>
      <c r="E69" s="211"/>
      <c r="F69" s="216"/>
      <c r="G69" s="217"/>
      <c r="H69" s="217"/>
      <c r="I69" s="217"/>
      <c r="J69" s="217"/>
      <c r="K69" s="217"/>
      <c r="L69" s="219"/>
      <c r="M69" s="220"/>
      <c r="N69" s="163"/>
      <c r="O69" s="212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214"/>
      <c r="AH69" s="214"/>
      <c r="AI69" s="213"/>
      <c r="AJ69" s="163"/>
      <c r="AK69" s="207"/>
    </row>
    <row r="70" spans="1:37" ht="12.75" hidden="1" customHeight="1">
      <c r="A70" s="172">
        <f t="shared" si="0"/>
        <v>63</v>
      </c>
      <c r="B70" s="172"/>
      <c r="C70" s="172">
        <f t="shared" si="1"/>
        <v>340</v>
      </c>
      <c r="D70" s="211"/>
      <c r="E70" s="211"/>
      <c r="F70" s="216"/>
      <c r="G70" s="217"/>
      <c r="H70" s="217"/>
      <c r="I70" s="217"/>
      <c r="J70" s="217"/>
      <c r="K70" s="217"/>
      <c r="L70" s="163"/>
      <c r="M70" s="163"/>
      <c r="N70" s="163"/>
      <c r="O70" s="212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214"/>
      <c r="AH70" s="214"/>
      <c r="AI70" s="213"/>
      <c r="AJ70" s="163"/>
      <c r="AK70" s="207"/>
    </row>
    <row r="71" spans="1:37" ht="12.75" hidden="1" customHeight="1">
      <c r="A71" s="172">
        <f t="shared" si="0"/>
        <v>64</v>
      </c>
      <c r="B71" s="172"/>
      <c r="C71" s="172">
        <f t="shared" si="1"/>
        <v>340</v>
      </c>
      <c r="D71" s="211"/>
      <c r="E71" s="211"/>
      <c r="F71" s="216"/>
      <c r="G71" s="217"/>
      <c r="H71" s="217"/>
      <c r="I71" s="217"/>
      <c r="J71" s="217"/>
      <c r="K71" s="217"/>
      <c r="L71" s="163"/>
      <c r="M71" s="163"/>
      <c r="N71" s="163"/>
      <c r="O71" s="212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214"/>
      <c r="AH71" s="214"/>
      <c r="AI71" s="213"/>
      <c r="AJ71" s="163"/>
      <c r="AK71" s="207"/>
    </row>
    <row r="72" spans="1:37" ht="12.75" hidden="1" customHeight="1">
      <c r="A72" s="172">
        <f t="shared" si="0"/>
        <v>65</v>
      </c>
      <c r="B72" s="172"/>
      <c r="C72" s="172">
        <f t="shared" si="1"/>
        <v>340</v>
      </c>
      <c r="D72" s="211"/>
      <c r="E72" s="211"/>
      <c r="F72" s="216"/>
      <c r="G72" s="217"/>
      <c r="H72" s="217"/>
      <c r="I72" s="217"/>
      <c r="J72" s="219"/>
      <c r="K72" s="219"/>
      <c r="L72" s="163"/>
      <c r="M72" s="163"/>
      <c r="N72" s="163"/>
      <c r="O72" s="212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214"/>
      <c r="AH72" s="214"/>
      <c r="AI72" s="213"/>
      <c r="AJ72" s="163"/>
      <c r="AK72" s="207"/>
    </row>
    <row r="73" spans="1:37" ht="12.75" hidden="1" customHeight="1">
      <c r="A73" s="172">
        <f t="shared" si="0"/>
        <v>66</v>
      </c>
      <c r="B73" s="172"/>
      <c r="C73" s="172">
        <f t="shared" si="1"/>
        <v>340</v>
      </c>
      <c r="D73" s="211"/>
      <c r="E73" s="211"/>
      <c r="F73" s="216"/>
      <c r="G73" s="217"/>
      <c r="H73" s="217"/>
      <c r="I73" s="217"/>
      <c r="J73" s="163"/>
      <c r="K73" s="163"/>
      <c r="L73" s="163"/>
      <c r="M73" s="163"/>
      <c r="N73" s="163"/>
      <c r="O73" s="212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214"/>
      <c r="AH73" s="214"/>
      <c r="AI73" s="213"/>
      <c r="AJ73" s="163"/>
      <c r="AK73" s="207"/>
    </row>
    <row r="74" spans="1:37" ht="12.75" hidden="1" customHeight="1">
      <c r="A74" s="172">
        <f t="shared" si="0"/>
        <v>67</v>
      </c>
      <c r="B74" s="172"/>
      <c r="C74" s="172">
        <f t="shared" si="1"/>
        <v>340</v>
      </c>
      <c r="D74" s="211"/>
      <c r="E74" s="211"/>
      <c r="F74" s="216"/>
      <c r="G74" s="217"/>
      <c r="H74" s="217"/>
      <c r="I74" s="217"/>
      <c r="J74" s="163"/>
      <c r="K74" s="163"/>
      <c r="L74" s="163"/>
      <c r="M74" s="163"/>
      <c r="N74" s="163"/>
      <c r="O74" s="212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214"/>
      <c r="AH74" s="214"/>
      <c r="AI74" s="213"/>
      <c r="AJ74" s="163"/>
      <c r="AK74" s="207"/>
    </row>
    <row r="75" spans="1:37" ht="12.75" hidden="1" customHeight="1" thickBot="1">
      <c r="A75" s="172">
        <f t="shared" si="0"/>
        <v>68</v>
      </c>
      <c r="B75" s="172"/>
      <c r="C75" s="172">
        <f t="shared" si="1"/>
        <v>340</v>
      </c>
      <c r="D75" s="211"/>
      <c r="E75" s="211"/>
      <c r="F75" s="216"/>
      <c r="G75" s="217"/>
      <c r="H75" s="217"/>
      <c r="I75" s="217"/>
      <c r="J75" s="163"/>
      <c r="K75" s="163"/>
      <c r="L75" s="163"/>
      <c r="M75" s="163"/>
      <c r="N75" s="163"/>
      <c r="O75" s="212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214"/>
      <c r="AH75" s="214"/>
      <c r="AI75" s="213"/>
      <c r="AJ75" s="163"/>
      <c r="AK75" s="207"/>
    </row>
    <row r="76" spans="1:37" ht="11.25" customHeight="1">
      <c r="A76" s="221"/>
      <c r="B76" s="221"/>
      <c r="C76" s="221"/>
      <c r="D76" s="163"/>
      <c r="E76" s="163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07"/>
    </row>
    <row r="77" spans="1:37" ht="11.25" customHeight="1">
      <c r="A77" s="221"/>
      <c r="B77" s="221"/>
      <c r="C77" s="221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207"/>
    </row>
    <row r="78" spans="1:37" ht="11.25" customHeight="1">
      <c r="A78" s="221"/>
      <c r="B78" s="221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207"/>
    </row>
    <row r="79" spans="1:37" ht="11.25" customHeight="1">
      <c r="A79" s="221"/>
      <c r="B79" s="221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207"/>
    </row>
    <row r="80" spans="1:37" ht="11.25" customHeight="1">
      <c r="A80" s="221"/>
      <c r="B80" s="221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207"/>
    </row>
    <row r="81" spans="1:37" ht="11.25" customHeight="1">
      <c r="A81" s="221"/>
      <c r="B81" s="221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207"/>
    </row>
    <row r="82" spans="1:37" ht="11.25" customHeight="1">
      <c r="A82" s="221"/>
      <c r="B82" s="221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207"/>
    </row>
    <row r="83" spans="1:37" ht="11.25" customHeight="1">
      <c r="A83" s="221"/>
      <c r="B83" s="221"/>
      <c r="C83" s="163"/>
      <c r="D83" s="163"/>
      <c r="E83" s="163"/>
      <c r="F83" s="163"/>
      <c r="G83" s="162"/>
      <c r="H83" s="162"/>
      <c r="I83" s="162"/>
      <c r="J83" s="168"/>
      <c r="K83" s="163"/>
      <c r="L83" s="163"/>
      <c r="M83" s="163"/>
      <c r="N83" s="163"/>
      <c r="O83" s="212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207"/>
    </row>
    <row r="84" spans="1:37" ht="11.25" customHeight="1">
      <c r="A84" s="221"/>
      <c r="B84" s="221"/>
      <c r="C84" s="163"/>
      <c r="D84" s="163"/>
      <c r="E84" s="163"/>
      <c r="F84" s="163"/>
      <c r="G84" s="172"/>
      <c r="H84" s="173"/>
      <c r="I84" s="173"/>
      <c r="J84" s="168"/>
      <c r="K84" s="174"/>
      <c r="L84" s="163"/>
      <c r="M84" s="163"/>
      <c r="N84" s="163"/>
      <c r="O84" s="212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207"/>
    </row>
    <row r="85" spans="1:37" ht="11.25" customHeight="1">
      <c r="A85" s="221"/>
      <c r="B85" s="221"/>
      <c r="C85" s="163"/>
      <c r="D85" s="163"/>
      <c r="E85" s="163"/>
      <c r="F85" s="163"/>
      <c r="G85" s="172"/>
      <c r="H85" s="173"/>
      <c r="I85" s="173"/>
      <c r="J85" s="168"/>
      <c r="K85" s="174"/>
      <c r="L85" s="163"/>
      <c r="M85" s="163"/>
      <c r="N85" s="163"/>
      <c r="O85" s="212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207"/>
    </row>
    <row r="86" spans="1:37" ht="11.25" customHeight="1">
      <c r="A86" s="221"/>
      <c r="B86" s="221"/>
      <c r="C86" s="163"/>
      <c r="D86" s="163"/>
      <c r="E86" s="163"/>
      <c r="F86" s="163"/>
      <c r="G86" s="172">
        <v>1</v>
      </c>
      <c r="H86" s="173"/>
      <c r="I86" s="173">
        <v>340</v>
      </c>
      <c r="J86" s="168"/>
      <c r="K86" s="174"/>
      <c r="L86" s="163"/>
      <c r="M86" s="163"/>
      <c r="N86" s="163"/>
      <c r="O86" s="212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207"/>
    </row>
    <row r="87" spans="1:37" ht="11.25" customHeight="1">
      <c r="A87" s="221"/>
      <c r="B87" s="221"/>
      <c r="C87" s="163"/>
      <c r="D87" s="163"/>
      <c r="E87" s="163"/>
      <c r="F87" s="163"/>
      <c r="G87" s="172">
        <f t="shared" ref="G87:G93" si="2">G86+1</f>
        <v>2</v>
      </c>
      <c r="H87" s="173"/>
      <c r="I87" s="173">
        <f t="shared" ref="I87:I93" si="3">I86</f>
        <v>340</v>
      </c>
      <c r="J87" s="168"/>
      <c r="K87" s="174"/>
      <c r="L87" s="163"/>
      <c r="M87" s="163"/>
      <c r="N87" s="163"/>
      <c r="O87" s="212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207"/>
    </row>
    <row r="88" spans="1:37" ht="11.25" customHeight="1">
      <c r="A88" s="221"/>
      <c r="B88" s="221"/>
      <c r="C88" s="163"/>
      <c r="D88" s="163"/>
      <c r="E88" s="163"/>
      <c r="F88" s="163"/>
      <c r="G88" s="172">
        <f t="shared" si="2"/>
        <v>3</v>
      </c>
      <c r="H88" s="173"/>
      <c r="I88" s="173">
        <f t="shared" si="3"/>
        <v>340</v>
      </c>
      <c r="J88" s="168"/>
      <c r="K88" s="174"/>
      <c r="L88" s="163"/>
      <c r="M88" s="163"/>
      <c r="N88" s="163"/>
      <c r="O88" s="212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207"/>
    </row>
    <row r="89" spans="1:37" ht="11.25" customHeight="1">
      <c r="A89" s="221"/>
      <c r="B89" s="221"/>
      <c r="C89" s="163"/>
      <c r="D89" s="163"/>
      <c r="E89" s="163"/>
      <c r="F89" s="163"/>
      <c r="G89" s="172">
        <f t="shared" si="2"/>
        <v>4</v>
      </c>
      <c r="H89" s="173"/>
      <c r="I89" s="173">
        <f t="shared" si="3"/>
        <v>340</v>
      </c>
      <c r="J89" s="168"/>
      <c r="K89" s="174"/>
      <c r="L89" s="163"/>
      <c r="M89" s="163"/>
      <c r="N89" s="163"/>
      <c r="O89" s="212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207"/>
    </row>
    <row r="90" spans="1:37" ht="11.25" customHeight="1">
      <c r="A90" s="221"/>
      <c r="B90" s="221"/>
      <c r="C90" s="163"/>
      <c r="D90" s="163"/>
      <c r="E90" s="163"/>
      <c r="F90" s="163"/>
      <c r="G90" s="172">
        <f t="shared" si="2"/>
        <v>5</v>
      </c>
      <c r="H90" s="173"/>
      <c r="I90" s="173">
        <f t="shared" si="3"/>
        <v>340</v>
      </c>
      <c r="J90" s="168"/>
      <c r="K90" s="174"/>
      <c r="L90" s="163"/>
      <c r="M90" s="163"/>
      <c r="N90" s="163"/>
      <c r="O90" s="212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207"/>
    </row>
    <row r="91" spans="1:37" ht="11.25" customHeight="1">
      <c r="A91" s="221"/>
      <c r="B91" s="221"/>
      <c r="C91" s="163"/>
      <c r="D91" s="163"/>
      <c r="E91" s="163"/>
      <c r="F91" s="163"/>
      <c r="G91" s="172">
        <f t="shared" si="2"/>
        <v>6</v>
      </c>
      <c r="H91" s="173"/>
      <c r="I91" s="173">
        <f t="shared" si="3"/>
        <v>340</v>
      </c>
      <c r="J91" s="168"/>
      <c r="K91" s="174"/>
      <c r="L91" s="163"/>
      <c r="M91" s="163"/>
      <c r="N91" s="163"/>
      <c r="O91" s="212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207"/>
    </row>
    <row r="92" spans="1:37" ht="11.25" customHeight="1">
      <c r="A92" s="221"/>
      <c r="B92" s="221"/>
      <c r="C92" s="163"/>
      <c r="D92" s="163"/>
      <c r="E92" s="163"/>
      <c r="F92" s="163"/>
      <c r="G92" s="172">
        <f t="shared" si="2"/>
        <v>7</v>
      </c>
      <c r="H92" s="173"/>
      <c r="I92" s="173">
        <f t="shared" si="3"/>
        <v>340</v>
      </c>
      <c r="J92" s="168"/>
      <c r="K92" s="174"/>
      <c r="L92" s="163"/>
      <c r="M92" s="163"/>
      <c r="N92" s="163"/>
      <c r="O92" s="212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207"/>
    </row>
    <row r="93" spans="1:37" ht="11.25" customHeight="1">
      <c r="A93" s="221"/>
      <c r="B93" s="221"/>
      <c r="C93" s="163"/>
      <c r="D93" s="163"/>
      <c r="E93" s="163"/>
      <c r="F93" s="163"/>
      <c r="G93" s="172">
        <f t="shared" si="2"/>
        <v>8</v>
      </c>
      <c r="H93" s="173"/>
      <c r="I93" s="173">
        <f t="shared" si="3"/>
        <v>340</v>
      </c>
      <c r="J93" s="168"/>
      <c r="K93" s="174"/>
      <c r="L93" s="163"/>
      <c r="M93" s="163"/>
      <c r="N93" s="163"/>
      <c r="O93" s="212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207"/>
    </row>
    <row r="94" spans="1:37" ht="11.25" customHeight="1" thickBot="1">
      <c r="A94" s="221"/>
      <c r="B94" s="221"/>
      <c r="C94" s="163"/>
      <c r="D94" s="163"/>
      <c r="E94" s="163"/>
      <c r="F94" s="163"/>
      <c r="G94" s="172"/>
      <c r="H94" s="173"/>
      <c r="I94" s="173"/>
      <c r="J94" s="168"/>
      <c r="K94" s="174"/>
      <c r="L94" s="163"/>
      <c r="M94" s="163"/>
      <c r="N94" s="163"/>
      <c r="O94" s="212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207"/>
    </row>
    <row r="95" spans="1:37" ht="11.25" customHeight="1" thickTop="1">
      <c r="A95" s="221"/>
      <c r="B95" s="221"/>
      <c r="C95" s="163"/>
      <c r="D95" s="163"/>
      <c r="E95" s="163"/>
      <c r="F95" s="163"/>
      <c r="G95" s="172">
        <f>G93+1</f>
        <v>9</v>
      </c>
      <c r="H95" s="173"/>
      <c r="I95" s="173">
        <f>I93</f>
        <v>340</v>
      </c>
      <c r="J95" s="174"/>
      <c r="K95" s="195"/>
      <c r="L95" s="163"/>
      <c r="M95" s="163"/>
      <c r="N95" s="163"/>
      <c r="O95" s="212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207"/>
    </row>
    <row r="96" spans="1:37" ht="11.25" customHeight="1">
      <c r="A96" s="221"/>
      <c r="B96" s="221"/>
      <c r="C96" s="163"/>
      <c r="D96" s="163"/>
      <c r="E96" s="163"/>
      <c r="F96" s="163"/>
      <c r="G96" s="172">
        <f t="shared" ref="G96:G107" si="4">G95+1</f>
        <v>10</v>
      </c>
      <c r="H96" s="173"/>
      <c r="I96" s="173">
        <f t="shared" ref="I96:I107" si="5">I95</f>
        <v>340</v>
      </c>
      <c r="J96" s="174"/>
      <c r="K96" s="174"/>
      <c r="L96" s="163"/>
      <c r="M96" s="163"/>
      <c r="N96" s="163"/>
      <c r="O96" s="212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207"/>
    </row>
    <row r="97" spans="1:37" ht="11.25" customHeight="1">
      <c r="A97" s="221"/>
      <c r="B97" s="221"/>
      <c r="C97" s="163"/>
      <c r="D97" s="163"/>
      <c r="E97" s="163"/>
      <c r="F97" s="163"/>
      <c r="G97" s="172">
        <f t="shared" si="4"/>
        <v>11</v>
      </c>
      <c r="H97" s="173"/>
      <c r="I97" s="173">
        <f t="shared" si="5"/>
        <v>340</v>
      </c>
      <c r="J97" s="174"/>
      <c r="K97" s="174"/>
      <c r="L97" s="163"/>
      <c r="M97" s="163"/>
      <c r="N97" s="163"/>
      <c r="O97" s="212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207"/>
    </row>
    <row r="98" spans="1:37" ht="11.25" customHeight="1">
      <c r="A98" s="221"/>
      <c r="B98" s="221"/>
      <c r="C98" s="163"/>
      <c r="D98" s="163"/>
      <c r="E98" s="163"/>
      <c r="F98" s="163"/>
      <c r="G98" s="172">
        <f t="shared" si="4"/>
        <v>12</v>
      </c>
      <c r="H98" s="173"/>
      <c r="I98" s="173">
        <f t="shared" si="5"/>
        <v>340</v>
      </c>
      <c r="J98" s="174"/>
      <c r="K98" s="174"/>
      <c r="L98" s="163"/>
      <c r="M98" s="163"/>
      <c r="N98" s="163"/>
      <c r="O98" s="212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207"/>
    </row>
    <row r="99" spans="1:37" ht="11.25" customHeight="1">
      <c r="A99" s="221"/>
      <c r="B99" s="221"/>
      <c r="C99" s="163"/>
      <c r="D99" s="163"/>
      <c r="E99" s="163"/>
      <c r="F99" s="163"/>
      <c r="G99" s="172">
        <f t="shared" si="4"/>
        <v>13</v>
      </c>
      <c r="H99" s="173"/>
      <c r="I99" s="173">
        <f t="shared" si="5"/>
        <v>340</v>
      </c>
      <c r="J99" s="174"/>
      <c r="K99" s="174"/>
      <c r="L99" s="163"/>
      <c r="M99" s="163"/>
      <c r="N99" s="163"/>
      <c r="O99" s="212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207"/>
    </row>
    <row r="100" spans="1:37" ht="11.25" customHeight="1">
      <c r="A100" s="221"/>
      <c r="B100" s="221"/>
      <c r="C100" s="163"/>
      <c r="D100" s="163"/>
      <c r="E100" s="163"/>
      <c r="F100" s="163"/>
      <c r="G100" s="172">
        <f t="shared" si="4"/>
        <v>14</v>
      </c>
      <c r="H100" s="173"/>
      <c r="I100" s="173">
        <f t="shared" si="5"/>
        <v>340</v>
      </c>
      <c r="J100" s="174"/>
      <c r="K100" s="174"/>
      <c r="L100" s="163"/>
      <c r="M100" s="163"/>
      <c r="N100" s="163"/>
      <c r="O100" s="212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207"/>
    </row>
    <row r="101" spans="1:37" ht="11.25" customHeight="1">
      <c r="A101" s="221"/>
      <c r="B101" s="221"/>
      <c r="C101" s="163"/>
      <c r="D101" s="163"/>
      <c r="E101" s="163"/>
      <c r="F101" s="163"/>
      <c r="G101" s="172">
        <f t="shared" si="4"/>
        <v>15</v>
      </c>
      <c r="H101" s="173"/>
      <c r="I101" s="173">
        <f t="shared" si="5"/>
        <v>340</v>
      </c>
      <c r="J101" s="174"/>
      <c r="K101" s="174"/>
      <c r="L101" s="163"/>
      <c r="M101" s="163"/>
      <c r="N101" s="163"/>
      <c r="O101" s="212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207"/>
    </row>
    <row r="102" spans="1:37" ht="11.25" customHeight="1">
      <c r="A102" s="221"/>
      <c r="B102" s="221"/>
      <c r="C102" s="163"/>
      <c r="D102" s="163"/>
      <c r="E102" s="163"/>
      <c r="F102" s="163"/>
      <c r="G102" s="172">
        <f t="shared" si="4"/>
        <v>16</v>
      </c>
      <c r="H102" s="173"/>
      <c r="I102" s="173">
        <f t="shared" si="5"/>
        <v>340</v>
      </c>
      <c r="J102" s="174"/>
      <c r="K102" s="174"/>
      <c r="L102" s="163"/>
      <c r="M102" s="163"/>
      <c r="N102" s="163"/>
      <c r="O102" s="212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207"/>
    </row>
    <row r="103" spans="1:37" ht="11.25" customHeight="1">
      <c r="A103" s="221"/>
      <c r="B103" s="221"/>
      <c r="C103" s="163"/>
      <c r="D103" s="163"/>
      <c r="E103" s="163"/>
      <c r="F103" s="163"/>
      <c r="G103" s="172">
        <f t="shared" si="4"/>
        <v>17</v>
      </c>
      <c r="H103" s="173"/>
      <c r="I103" s="173">
        <f t="shared" si="5"/>
        <v>340</v>
      </c>
      <c r="J103" s="174"/>
      <c r="K103" s="174"/>
      <c r="L103" s="163"/>
      <c r="M103" s="163"/>
      <c r="N103" s="163"/>
      <c r="O103" s="212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207"/>
    </row>
    <row r="104" spans="1:37" ht="11.25" customHeight="1">
      <c r="A104" s="221"/>
      <c r="B104" s="221"/>
      <c r="C104" s="163"/>
      <c r="D104" s="163"/>
      <c r="E104" s="163"/>
      <c r="F104" s="163"/>
      <c r="G104" s="172">
        <f t="shared" si="4"/>
        <v>18</v>
      </c>
      <c r="H104" s="173"/>
      <c r="I104" s="173">
        <f t="shared" si="5"/>
        <v>340</v>
      </c>
      <c r="J104" s="174"/>
      <c r="K104" s="174"/>
      <c r="L104" s="163"/>
      <c r="M104" s="163"/>
      <c r="N104" s="163"/>
      <c r="O104" s="212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207"/>
    </row>
    <row r="105" spans="1:37" ht="11.25" customHeight="1">
      <c r="A105" s="221"/>
      <c r="B105" s="221"/>
      <c r="C105" s="163"/>
      <c r="D105" s="163"/>
      <c r="E105" s="163"/>
      <c r="F105" s="163"/>
      <c r="G105" s="172">
        <f t="shared" si="4"/>
        <v>19</v>
      </c>
      <c r="H105" s="173"/>
      <c r="I105" s="173">
        <f t="shared" si="5"/>
        <v>340</v>
      </c>
      <c r="J105" s="174"/>
      <c r="K105" s="174"/>
      <c r="L105" s="163"/>
      <c r="M105" s="163"/>
      <c r="N105" s="163"/>
      <c r="O105" s="212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207"/>
    </row>
    <row r="106" spans="1:37" ht="11.25" customHeight="1">
      <c r="A106" s="221"/>
      <c r="B106" s="221"/>
      <c r="C106" s="163"/>
      <c r="D106" s="163"/>
      <c r="E106" s="163"/>
      <c r="F106" s="163"/>
      <c r="G106" s="172">
        <f t="shared" si="4"/>
        <v>20</v>
      </c>
      <c r="H106" s="173"/>
      <c r="I106" s="173">
        <f t="shared" si="5"/>
        <v>340</v>
      </c>
      <c r="J106" s="174"/>
      <c r="K106" s="174"/>
      <c r="L106" s="163"/>
      <c r="M106" s="163"/>
      <c r="N106" s="163"/>
      <c r="O106" s="212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207"/>
    </row>
    <row r="107" spans="1:37" ht="11.25" customHeight="1">
      <c r="A107" s="221"/>
      <c r="B107" s="221"/>
      <c r="C107" s="163"/>
      <c r="D107" s="163"/>
      <c r="E107" s="163"/>
      <c r="F107" s="163"/>
      <c r="G107" s="172">
        <f t="shared" si="4"/>
        <v>21</v>
      </c>
      <c r="H107" s="173"/>
      <c r="I107" s="173">
        <f t="shared" si="5"/>
        <v>340</v>
      </c>
      <c r="J107" s="174"/>
      <c r="K107" s="174"/>
      <c r="L107" s="163"/>
      <c r="M107" s="163"/>
      <c r="N107" s="163"/>
      <c r="O107" s="212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207"/>
    </row>
    <row r="108" spans="1:37" ht="11.25" customHeight="1">
      <c r="A108" s="221"/>
      <c r="B108" s="221"/>
      <c r="C108" s="163"/>
      <c r="D108" s="163"/>
      <c r="E108" s="163"/>
      <c r="F108" s="163"/>
      <c r="G108" s="172"/>
      <c r="H108" s="173"/>
      <c r="I108" s="173"/>
      <c r="J108" s="174"/>
      <c r="K108" s="174"/>
      <c r="L108" s="163"/>
      <c r="M108" s="163"/>
      <c r="N108" s="163"/>
      <c r="O108" s="212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207"/>
    </row>
    <row r="109" spans="1:37" ht="11.25" customHeight="1" thickBot="1">
      <c r="A109" s="221"/>
      <c r="B109" s="221"/>
      <c r="C109" s="163"/>
      <c r="D109" s="163"/>
      <c r="E109" s="163"/>
      <c r="F109" s="163"/>
      <c r="G109" s="172"/>
      <c r="H109" s="173"/>
      <c r="I109" s="173"/>
      <c r="J109" s="174"/>
      <c r="K109" s="174"/>
      <c r="L109" s="163"/>
      <c r="M109" s="163"/>
      <c r="N109" s="163"/>
      <c r="O109" s="212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207"/>
    </row>
    <row r="110" spans="1:37" ht="11.25" customHeight="1" thickTop="1">
      <c r="A110" s="221"/>
      <c r="B110" s="221"/>
      <c r="C110" s="163"/>
      <c r="D110" s="163"/>
      <c r="E110" s="163"/>
      <c r="F110" s="163"/>
      <c r="G110" s="172">
        <f>G107+1</f>
        <v>22</v>
      </c>
      <c r="H110" s="173"/>
      <c r="I110" s="173">
        <f>I107</f>
        <v>340</v>
      </c>
      <c r="J110" s="197"/>
      <c r="K110" s="198"/>
      <c r="L110" s="163"/>
      <c r="M110" s="163"/>
      <c r="N110" s="163"/>
      <c r="O110" s="212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207"/>
    </row>
    <row r="111" spans="1:37" ht="11.25" customHeight="1">
      <c r="A111" s="221"/>
      <c r="B111" s="221"/>
      <c r="C111" s="163"/>
      <c r="D111" s="163"/>
      <c r="E111" s="163"/>
      <c r="F111" s="163"/>
      <c r="G111" s="172">
        <f t="shared" ref="G111:G147" si="6">G110+1</f>
        <v>23</v>
      </c>
      <c r="H111" s="173"/>
      <c r="I111" s="173">
        <f t="shared" ref="I111:I147" si="7">I110</f>
        <v>340</v>
      </c>
      <c r="J111" s="203"/>
      <c r="K111" s="204"/>
      <c r="L111" s="163"/>
      <c r="M111" s="163"/>
      <c r="N111" s="163"/>
      <c r="O111" s="212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207"/>
    </row>
    <row r="112" spans="1:37" ht="11.25" customHeight="1">
      <c r="A112" s="221"/>
      <c r="B112" s="221"/>
      <c r="C112" s="163"/>
      <c r="D112" s="163"/>
      <c r="E112" s="163"/>
      <c r="F112" s="163"/>
      <c r="G112" s="172">
        <f t="shared" si="6"/>
        <v>24</v>
      </c>
      <c r="H112" s="173"/>
      <c r="I112" s="173">
        <f t="shared" si="7"/>
        <v>340</v>
      </c>
      <c r="J112" s="203"/>
      <c r="K112" s="204"/>
      <c r="L112" s="163"/>
      <c r="M112" s="163"/>
      <c r="N112" s="163"/>
      <c r="O112" s="212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207"/>
    </row>
    <row r="113" spans="1:37" ht="11.25" customHeight="1">
      <c r="A113" s="221"/>
      <c r="B113" s="221"/>
      <c r="C113" s="163"/>
      <c r="D113" s="163"/>
      <c r="E113" s="163"/>
      <c r="F113" s="163"/>
      <c r="G113" s="172">
        <f t="shared" si="6"/>
        <v>25</v>
      </c>
      <c r="H113" s="173"/>
      <c r="I113" s="173">
        <f t="shared" si="7"/>
        <v>340</v>
      </c>
      <c r="J113" s="197"/>
      <c r="K113" s="174"/>
      <c r="L113" s="163"/>
      <c r="M113" s="163"/>
      <c r="N113" s="163"/>
      <c r="O113" s="212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207"/>
    </row>
    <row r="114" spans="1:37" ht="11.25" customHeight="1">
      <c r="A114" s="221"/>
      <c r="B114" s="221"/>
      <c r="C114" s="163"/>
      <c r="D114" s="163"/>
      <c r="E114" s="163"/>
      <c r="F114" s="163"/>
      <c r="G114" s="172">
        <f t="shared" si="6"/>
        <v>26</v>
      </c>
      <c r="H114" s="173"/>
      <c r="I114" s="173">
        <f t="shared" si="7"/>
        <v>340</v>
      </c>
      <c r="J114" s="197"/>
      <c r="K114" s="174"/>
      <c r="L114" s="163"/>
      <c r="M114" s="163"/>
      <c r="N114" s="163"/>
      <c r="O114" s="212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207"/>
    </row>
    <row r="115" spans="1:37" ht="11.25" customHeight="1">
      <c r="A115" s="221"/>
      <c r="B115" s="221"/>
      <c r="C115" s="163"/>
      <c r="D115" s="163"/>
      <c r="E115" s="163"/>
      <c r="F115" s="163"/>
      <c r="G115" s="172">
        <f t="shared" si="6"/>
        <v>27</v>
      </c>
      <c r="H115" s="173"/>
      <c r="I115" s="173">
        <f t="shared" si="7"/>
        <v>340</v>
      </c>
      <c r="J115" s="203"/>
      <c r="K115" s="204"/>
      <c r="L115" s="163"/>
      <c r="M115" s="163"/>
      <c r="N115" s="163"/>
      <c r="O115" s="212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207"/>
    </row>
    <row r="116" spans="1:37" ht="11.25" customHeight="1">
      <c r="A116" s="221"/>
      <c r="B116" s="221"/>
      <c r="C116" s="163"/>
      <c r="D116" s="163"/>
      <c r="E116" s="163"/>
      <c r="F116" s="163"/>
      <c r="G116" s="172">
        <f t="shared" si="6"/>
        <v>28</v>
      </c>
      <c r="H116" s="173"/>
      <c r="I116" s="173">
        <f t="shared" si="7"/>
        <v>340</v>
      </c>
      <c r="J116" s="203"/>
      <c r="K116" s="174"/>
      <c r="L116" s="163"/>
      <c r="M116" s="163"/>
      <c r="N116" s="163"/>
      <c r="O116" s="212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207"/>
    </row>
    <row r="117" spans="1:37" ht="11.25" customHeight="1">
      <c r="A117" s="221"/>
      <c r="B117" s="221"/>
      <c r="C117" s="163"/>
      <c r="D117" s="163"/>
      <c r="E117" s="163"/>
      <c r="F117" s="163"/>
      <c r="G117" s="172">
        <f t="shared" si="6"/>
        <v>29</v>
      </c>
      <c r="H117" s="173"/>
      <c r="I117" s="173">
        <f t="shared" si="7"/>
        <v>340</v>
      </c>
      <c r="J117" s="203"/>
      <c r="K117" s="174"/>
      <c r="L117" s="163"/>
      <c r="M117" s="163"/>
      <c r="N117" s="163"/>
      <c r="O117" s="212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207"/>
    </row>
    <row r="118" spans="1:37" ht="11.25" customHeight="1">
      <c r="A118" s="221"/>
      <c r="B118" s="221"/>
      <c r="C118" s="163"/>
      <c r="D118" s="163"/>
      <c r="E118" s="163"/>
      <c r="F118" s="163"/>
      <c r="G118" s="172">
        <f t="shared" si="6"/>
        <v>30</v>
      </c>
      <c r="H118" s="173"/>
      <c r="I118" s="173">
        <f t="shared" si="7"/>
        <v>340</v>
      </c>
      <c r="J118" s="203"/>
      <c r="K118" s="174"/>
      <c r="L118" s="163"/>
      <c r="M118" s="163"/>
      <c r="N118" s="163"/>
      <c r="O118" s="212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207"/>
    </row>
    <row r="119" spans="1:37" ht="11.25" customHeight="1">
      <c r="A119" s="221"/>
      <c r="B119" s="221"/>
      <c r="C119" s="163"/>
      <c r="D119" s="163"/>
      <c r="E119" s="163"/>
      <c r="F119" s="163"/>
      <c r="G119" s="172">
        <f t="shared" si="6"/>
        <v>31</v>
      </c>
      <c r="H119" s="173"/>
      <c r="I119" s="173">
        <f t="shared" si="7"/>
        <v>340</v>
      </c>
      <c r="J119" s="203"/>
      <c r="K119" s="174"/>
      <c r="L119" s="163"/>
      <c r="M119" s="163"/>
      <c r="N119" s="163"/>
      <c r="O119" s="212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207"/>
    </row>
    <row r="120" spans="1:37" ht="11.25" customHeight="1">
      <c r="A120" s="221"/>
      <c r="B120" s="221"/>
      <c r="C120" s="163"/>
      <c r="D120" s="163"/>
      <c r="E120" s="163"/>
      <c r="F120" s="163"/>
      <c r="G120" s="172">
        <f t="shared" si="6"/>
        <v>32</v>
      </c>
      <c r="H120" s="173"/>
      <c r="I120" s="173">
        <f t="shared" si="7"/>
        <v>340</v>
      </c>
      <c r="J120" s="203"/>
      <c r="K120" s="174"/>
      <c r="L120" s="163"/>
      <c r="M120" s="163"/>
      <c r="N120" s="163"/>
      <c r="O120" s="212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207"/>
    </row>
    <row r="121" spans="1:37" ht="11.25" customHeight="1">
      <c r="A121" s="221"/>
      <c r="B121" s="221"/>
      <c r="C121" s="163"/>
      <c r="D121" s="163"/>
      <c r="E121" s="163"/>
      <c r="F121" s="163"/>
      <c r="G121" s="172">
        <f t="shared" si="6"/>
        <v>33</v>
      </c>
      <c r="H121" s="173"/>
      <c r="I121" s="173">
        <f t="shared" si="7"/>
        <v>340</v>
      </c>
      <c r="J121" s="203"/>
      <c r="K121" s="174"/>
      <c r="L121" s="163"/>
      <c r="M121" s="163"/>
      <c r="N121" s="163"/>
      <c r="O121" s="212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207"/>
    </row>
    <row r="122" spans="1:37" ht="11.25" customHeight="1">
      <c r="A122" s="221"/>
      <c r="B122" s="221"/>
      <c r="C122" s="163"/>
      <c r="D122" s="163"/>
      <c r="E122" s="163"/>
      <c r="F122" s="163"/>
      <c r="G122" s="172">
        <f t="shared" si="6"/>
        <v>34</v>
      </c>
      <c r="H122" s="173"/>
      <c r="I122" s="173">
        <f t="shared" si="7"/>
        <v>340</v>
      </c>
      <c r="J122" s="203"/>
      <c r="K122" s="174"/>
      <c r="L122" s="163"/>
      <c r="M122" s="163"/>
      <c r="N122" s="163"/>
      <c r="O122" s="212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207"/>
    </row>
    <row r="123" spans="1:37" ht="11.25" customHeight="1">
      <c r="A123" s="221"/>
      <c r="B123" s="221"/>
      <c r="C123" s="163"/>
      <c r="D123" s="163"/>
      <c r="E123" s="163"/>
      <c r="F123" s="163"/>
      <c r="G123" s="172">
        <f t="shared" si="6"/>
        <v>35</v>
      </c>
      <c r="H123" s="173"/>
      <c r="I123" s="173">
        <f t="shared" si="7"/>
        <v>340</v>
      </c>
      <c r="J123" s="203"/>
      <c r="K123" s="174"/>
      <c r="L123" s="163"/>
      <c r="M123" s="163"/>
      <c r="N123" s="163"/>
      <c r="O123" s="212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207"/>
    </row>
    <row r="124" spans="1:37" ht="11.25" customHeight="1">
      <c r="A124" s="221"/>
      <c r="B124" s="221"/>
      <c r="C124" s="163"/>
      <c r="D124" s="163"/>
      <c r="E124" s="163"/>
      <c r="F124" s="163"/>
      <c r="G124" s="172">
        <f t="shared" si="6"/>
        <v>36</v>
      </c>
      <c r="H124" s="173"/>
      <c r="I124" s="173">
        <f t="shared" si="7"/>
        <v>340</v>
      </c>
      <c r="J124" s="203"/>
      <c r="K124" s="174"/>
      <c r="L124" s="163"/>
      <c r="M124" s="163"/>
      <c r="N124" s="163"/>
      <c r="O124" s="212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207"/>
    </row>
    <row r="125" spans="1:37" ht="11.25" customHeight="1">
      <c r="A125" s="221"/>
      <c r="B125" s="221"/>
      <c r="C125" s="163"/>
      <c r="D125" s="163"/>
      <c r="E125" s="163"/>
      <c r="F125" s="163"/>
      <c r="G125" s="172">
        <f t="shared" si="6"/>
        <v>37</v>
      </c>
      <c r="H125" s="173"/>
      <c r="I125" s="173">
        <f t="shared" si="7"/>
        <v>340</v>
      </c>
      <c r="J125" s="203"/>
      <c r="K125" s="174"/>
      <c r="L125" s="163"/>
      <c r="M125" s="163"/>
      <c r="N125" s="163"/>
      <c r="O125" s="212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207"/>
    </row>
    <row r="126" spans="1:37" ht="11.25" customHeight="1">
      <c r="A126" s="221"/>
      <c r="B126" s="221"/>
      <c r="C126" s="163"/>
      <c r="D126" s="163"/>
      <c r="E126" s="163"/>
      <c r="F126" s="163"/>
      <c r="G126" s="172">
        <f t="shared" si="6"/>
        <v>38</v>
      </c>
      <c r="H126" s="173"/>
      <c r="I126" s="173">
        <f t="shared" si="7"/>
        <v>340</v>
      </c>
      <c r="J126" s="203"/>
      <c r="K126" s="174"/>
      <c r="L126" s="163"/>
      <c r="M126" s="163"/>
      <c r="N126" s="163"/>
      <c r="O126" s="212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207"/>
    </row>
    <row r="127" spans="1:37" ht="11.25" customHeight="1" thickBot="1">
      <c r="A127" s="221"/>
      <c r="B127" s="221"/>
      <c r="C127" s="163"/>
      <c r="D127" s="163"/>
      <c r="E127" s="163"/>
      <c r="F127" s="163"/>
      <c r="G127" s="172">
        <f t="shared" si="6"/>
        <v>39</v>
      </c>
      <c r="H127" s="173"/>
      <c r="I127" s="173">
        <f t="shared" si="7"/>
        <v>340</v>
      </c>
      <c r="J127" s="197"/>
      <c r="K127" s="209"/>
      <c r="L127" s="163"/>
      <c r="M127" s="163"/>
      <c r="N127" s="163"/>
      <c r="O127" s="212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207"/>
    </row>
    <row r="128" spans="1:37" ht="11.25" customHeight="1" thickTop="1">
      <c r="A128" s="221"/>
      <c r="B128" s="221"/>
      <c r="C128" s="163"/>
      <c r="D128" s="163"/>
      <c r="E128" s="163"/>
      <c r="F128" s="163"/>
      <c r="G128" s="172">
        <f t="shared" si="6"/>
        <v>40</v>
      </c>
      <c r="H128" s="173"/>
      <c r="I128" s="173">
        <f t="shared" si="7"/>
        <v>340</v>
      </c>
      <c r="J128" s="174"/>
      <c r="K128" s="174"/>
      <c r="L128" s="163"/>
      <c r="M128" s="163"/>
      <c r="N128" s="163"/>
      <c r="O128" s="212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207"/>
    </row>
    <row r="129" spans="1:37" ht="11.25" customHeight="1">
      <c r="A129" s="221"/>
      <c r="B129" s="221"/>
      <c r="C129" s="163"/>
      <c r="D129" s="163"/>
      <c r="E129" s="163"/>
      <c r="F129" s="163"/>
      <c r="G129" s="172">
        <f t="shared" si="6"/>
        <v>41</v>
      </c>
      <c r="H129" s="173"/>
      <c r="I129" s="173">
        <f t="shared" si="7"/>
        <v>340</v>
      </c>
      <c r="J129" s="211"/>
      <c r="K129" s="174"/>
      <c r="L129" s="163"/>
      <c r="M129" s="163"/>
      <c r="N129" s="163"/>
      <c r="O129" s="212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207"/>
    </row>
    <row r="130" spans="1:37" ht="11.25" customHeight="1">
      <c r="A130" s="221"/>
      <c r="B130" s="221"/>
      <c r="C130" s="163"/>
      <c r="D130" s="163"/>
      <c r="E130" s="163"/>
      <c r="F130" s="163"/>
      <c r="G130" s="172">
        <f t="shared" si="6"/>
        <v>42</v>
      </c>
      <c r="H130" s="173"/>
      <c r="I130" s="173">
        <f t="shared" si="7"/>
        <v>340</v>
      </c>
      <c r="J130" s="211"/>
      <c r="K130" s="174"/>
      <c r="L130" s="163"/>
      <c r="M130" s="163"/>
      <c r="N130" s="163"/>
      <c r="O130" s="212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207"/>
    </row>
    <row r="131" spans="1:37" ht="11.25" customHeight="1">
      <c r="A131" s="221"/>
      <c r="B131" s="221"/>
      <c r="C131" s="163"/>
      <c r="D131" s="163"/>
      <c r="E131" s="163"/>
      <c r="F131" s="163"/>
      <c r="G131" s="172">
        <f t="shared" si="6"/>
        <v>43</v>
      </c>
      <c r="H131" s="173"/>
      <c r="I131" s="173">
        <f t="shared" si="7"/>
        <v>340</v>
      </c>
      <c r="J131" s="174"/>
      <c r="K131" s="174"/>
      <c r="L131" s="163"/>
      <c r="M131" s="163"/>
      <c r="N131" s="163"/>
      <c r="O131" s="212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207"/>
    </row>
    <row r="132" spans="1:37" ht="11.25" customHeight="1">
      <c r="A132" s="221"/>
      <c r="B132" s="221"/>
      <c r="C132" s="163"/>
      <c r="D132" s="163"/>
      <c r="E132" s="163"/>
      <c r="F132" s="163"/>
      <c r="G132" s="172">
        <f t="shared" si="6"/>
        <v>44</v>
      </c>
      <c r="H132" s="173"/>
      <c r="I132" s="173">
        <f t="shared" si="7"/>
        <v>340</v>
      </c>
      <c r="J132" s="174"/>
      <c r="K132" s="174"/>
      <c r="L132" s="163"/>
      <c r="M132" s="163"/>
      <c r="N132" s="163"/>
      <c r="O132" s="212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207"/>
    </row>
    <row r="133" spans="1:37" ht="11.25" customHeight="1">
      <c r="A133" s="221"/>
      <c r="B133" s="221"/>
      <c r="C133" s="163"/>
      <c r="D133" s="163"/>
      <c r="E133" s="163"/>
      <c r="F133" s="163"/>
      <c r="G133" s="172">
        <f t="shared" si="6"/>
        <v>45</v>
      </c>
      <c r="H133" s="173"/>
      <c r="I133" s="173">
        <f t="shared" si="7"/>
        <v>340</v>
      </c>
      <c r="J133" s="174"/>
      <c r="K133" s="174"/>
      <c r="L133" s="163"/>
      <c r="M133" s="163"/>
      <c r="N133" s="163"/>
      <c r="O133" s="212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207"/>
    </row>
    <row r="134" spans="1:37" ht="11.25" customHeight="1">
      <c r="A134" s="221"/>
      <c r="B134" s="221"/>
      <c r="C134" s="163"/>
      <c r="D134" s="163"/>
      <c r="E134" s="163"/>
      <c r="F134" s="163"/>
      <c r="G134" s="172">
        <f t="shared" si="6"/>
        <v>46</v>
      </c>
      <c r="H134" s="173"/>
      <c r="I134" s="173">
        <f t="shared" si="7"/>
        <v>340</v>
      </c>
      <c r="J134" s="174"/>
      <c r="K134" s="174"/>
      <c r="L134" s="163"/>
      <c r="M134" s="163"/>
      <c r="N134" s="163"/>
      <c r="O134" s="212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207"/>
    </row>
    <row r="135" spans="1:37" ht="11.25" customHeight="1">
      <c r="A135" s="221"/>
      <c r="B135" s="221"/>
      <c r="C135" s="163"/>
      <c r="D135" s="163"/>
      <c r="E135" s="163"/>
      <c r="F135" s="163"/>
      <c r="G135" s="172">
        <f t="shared" si="6"/>
        <v>47</v>
      </c>
      <c r="H135" s="173"/>
      <c r="I135" s="173">
        <f t="shared" si="7"/>
        <v>340</v>
      </c>
      <c r="J135" s="174"/>
      <c r="K135" s="174"/>
      <c r="L135" s="163"/>
      <c r="M135" s="163"/>
      <c r="N135" s="163"/>
      <c r="O135" s="212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207"/>
    </row>
    <row r="136" spans="1:37" ht="11.25" customHeight="1">
      <c r="A136" s="221"/>
      <c r="B136" s="221"/>
      <c r="C136" s="163"/>
      <c r="D136" s="163"/>
      <c r="E136" s="163"/>
      <c r="F136" s="163"/>
      <c r="G136" s="172">
        <f t="shared" si="6"/>
        <v>48</v>
      </c>
      <c r="H136" s="173"/>
      <c r="I136" s="173">
        <f t="shared" si="7"/>
        <v>340</v>
      </c>
      <c r="J136" s="174"/>
      <c r="K136" s="162"/>
      <c r="L136" s="163"/>
      <c r="M136" s="163"/>
      <c r="N136" s="163"/>
      <c r="O136" s="212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207"/>
    </row>
    <row r="137" spans="1:37" ht="11.25" customHeight="1">
      <c r="A137" s="221"/>
      <c r="B137" s="221"/>
      <c r="C137" s="163"/>
      <c r="D137" s="163"/>
      <c r="E137" s="163"/>
      <c r="F137" s="163"/>
      <c r="G137" s="172">
        <f t="shared" si="6"/>
        <v>49</v>
      </c>
      <c r="H137" s="173"/>
      <c r="I137" s="173">
        <f t="shared" si="7"/>
        <v>340</v>
      </c>
      <c r="J137" s="174"/>
      <c r="K137" s="174"/>
      <c r="L137" s="163"/>
      <c r="M137" s="163"/>
      <c r="N137" s="163"/>
      <c r="O137" s="212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207"/>
    </row>
    <row r="138" spans="1:37" ht="11.25" customHeight="1">
      <c r="A138" s="221"/>
      <c r="B138" s="221"/>
      <c r="C138" s="163"/>
      <c r="D138" s="163"/>
      <c r="E138" s="163"/>
      <c r="F138" s="163"/>
      <c r="G138" s="172">
        <f t="shared" si="6"/>
        <v>50</v>
      </c>
      <c r="H138" s="173"/>
      <c r="I138" s="173">
        <f t="shared" si="7"/>
        <v>340</v>
      </c>
      <c r="J138" s="174"/>
      <c r="K138" s="174"/>
      <c r="L138" s="163"/>
      <c r="M138" s="163"/>
      <c r="N138" s="163"/>
      <c r="O138" s="212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207"/>
    </row>
    <row r="139" spans="1:37" ht="11.25" customHeight="1">
      <c r="A139" s="221"/>
      <c r="B139" s="221"/>
      <c r="C139" s="163"/>
      <c r="D139" s="163"/>
      <c r="E139" s="163"/>
      <c r="F139" s="163"/>
      <c r="G139" s="172">
        <f t="shared" si="6"/>
        <v>51</v>
      </c>
      <c r="H139" s="173"/>
      <c r="I139" s="173">
        <f t="shared" si="7"/>
        <v>340</v>
      </c>
      <c r="J139" s="174"/>
      <c r="K139" s="174"/>
      <c r="L139" s="163"/>
      <c r="M139" s="163"/>
      <c r="N139" s="163"/>
      <c r="O139" s="212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207"/>
    </row>
    <row r="140" spans="1:37" ht="11.25" customHeight="1">
      <c r="A140" s="221"/>
      <c r="B140" s="221"/>
      <c r="C140" s="163"/>
      <c r="D140" s="163"/>
      <c r="E140" s="163"/>
      <c r="F140" s="163"/>
      <c r="G140" s="172">
        <f t="shared" si="6"/>
        <v>52</v>
      </c>
      <c r="H140" s="173"/>
      <c r="I140" s="173">
        <f t="shared" si="7"/>
        <v>340</v>
      </c>
      <c r="J140" s="174"/>
      <c r="K140" s="174"/>
      <c r="L140" s="163"/>
      <c r="M140" s="163"/>
      <c r="N140" s="163"/>
      <c r="O140" s="212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207"/>
    </row>
    <row r="141" spans="1:37" ht="11.25" customHeight="1">
      <c r="A141" s="221"/>
      <c r="B141" s="221"/>
      <c r="C141" s="163"/>
      <c r="D141" s="163"/>
      <c r="E141" s="163"/>
      <c r="F141" s="163"/>
      <c r="G141" s="172">
        <f t="shared" si="6"/>
        <v>53</v>
      </c>
      <c r="H141" s="173"/>
      <c r="I141" s="173">
        <f t="shared" si="7"/>
        <v>340</v>
      </c>
      <c r="J141" s="174"/>
      <c r="K141" s="174"/>
      <c r="L141" s="163"/>
      <c r="M141" s="163"/>
      <c r="N141" s="163"/>
      <c r="O141" s="212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207"/>
    </row>
    <row r="142" spans="1:37" ht="11.25" customHeight="1">
      <c r="A142" s="221"/>
      <c r="B142" s="221"/>
      <c r="C142" s="163"/>
      <c r="D142" s="163"/>
      <c r="E142" s="163"/>
      <c r="F142" s="163"/>
      <c r="G142" s="172">
        <f t="shared" si="6"/>
        <v>54</v>
      </c>
      <c r="H142" s="173"/>
      <c r="I142" s="173">
        <f t="shared" si="7"/>
        <v>340</v>
      </c>
      <c r="J142" s="174"/>
      <c r="K142" s="174"/>
      <c r="L142" s="163"/>
      <c r="M142" s="163"/>
      <c r="N142" s="163"/>
      <c r="O142" s="212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207"/>
    </row>
    <row r="143" spans="1:37" ht="11.25" customHeight="1">
      <c r="A143" s="221"/>
      <c r="B143" s="221"/>
      <c r="C143" s="163"/>
      <c r="D143" s="163"/>
      <c r="E143" s="163"/>
      <c r="F143" s="163"/>
      <c r="G143" s="172">
        <f t="shared" si="6"/>
        <v>55</v>
      </c>
      <c r="H143" s="173"/>
      <c r="I143" s="173">
        <f t="shared" si="7"/>
        <v>340</v>
      </c>
      <c r="J143" s="174"/>
      <c r="K143" s="174"/>
      <c r="L143" s="163"/>
      <c r="M143" s="163"/>
      <c r="N143" s="163"/>
      <c r="O143" s="212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207"/>
    </row>
    <row r="144" spans="1:37" ht="11.25" customHeight="1">
      <c r="A144" s="221"/>
      <c r="B144" s="221"/>
      <c r="C144" s="163"/>
      <c r="D144" s="163"/>
      <c r="E144" s="163"/>
      <c r="F144" s="163"/>
      <c r="G144" s="172">
        <f t="shared" si="6"/>
        <v>56</v>
      </c>
      <c r="H144" s="173"/>
      <c r="I144" s="173">
        <f t="shared" si="7"/>
        <v>340</v>
      </c>
      <c r="J144" s="174"/>
      <c r="K144" s="174"/>
      <c r="L144" s="163"/>
      <c r="M144" s="163"/>
      <c r="N144" s="163"/>
      <c r="O144" s="212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207"/>
    </row>
    <row r="145" spans="1:37" ht="11.25" customHeight="1">
      <c r="A145" s="221"/>
      <c r="B145" s="221"/>
      <c r="C145" s="163"/>
      <c r="D145" s="163"/>
      <c r="E145" s="163"/>
      <c r="F145" s="163"/>
      <c r="G145" s="172">
        <f t="shared" si="6"/>
        <v>57</v>
      </c>
      <c r="H145" s="173"/>
      <c r="I145" s="173">
        <f t="shared" si="7"/>
        <v>340</v>
      </c>
      <c r="J145" s="174"/>
      <c r="K145" s="174"/>
      <c r="L145" s="163"/>
      <c r="M145" s="163"/>
      <c r="N145" s="163"/>
      <c r="O145" s="212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207"/>
    </row>
    <row r="146" spans="1:37" ht="11.25" customHeight="1">
      <c r="A146" s="221"/>
      <c r="B146" s="221"/>
      <c r="C146" s="163"/>
      <c r="D146" s="163"/>
      <c r="E146" s="163"/>
      <c r="F146" s="163"/>
      <c r="G146" s="172">
        <f t="shared" si="6"/>
        <v>58</v>
      </c>
      <c r="H146" s="173"/>
      <c r="I146" s="173">
        <f t="shared" si="7"/>
        <v>340</v>
      </c>
      <c r="J146" s="174"/>
      <c r="K146" s="174"/>
      <c r="L146" s="163"/>
      <c r="M146" s="163"/>
      <c r="N146" s="163"/>
      <c r="O146" s="212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207"/>
    </row>
    <row r="147" spans="1:37" ht="11.25" customHeight="1">
      <c r="A147" s="221"/>
      <c r="B147" s="221"/>
      <c r="C147" s="163"/>
      <c r="D147" s="163"/>
      <c r="E147" s="163"/>
      <c r="F147" s="163"/>
      <c r="G147" s="172">
        <f t="shared" si="6"/>
        <v>59</v>
      </c>
      <c r="H147" s="173"/>
      <c r="I147" s="173">
        <f t="shared" si="7"/>
        <v>340</v>
      </c>
      <c r="J147" s="174"/>
      <c r="K147" s="174"/>
      <c r="L147" s="163"/>
      <c r="M147" s="163"/>
      <c r="N147" s="163"/>
      <c r="O147" s="212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207"/>
    </row>
    <row r="148" spans="1:37" ht="11.25" customHeight="1">
      <c r="A148" s="221"/>
      <c r="B148" s="221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212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207"/>
    </row>
    <row r="149" spans="1:37" ht="11.25" customHeight="1">
      <c r="A149" s="221"/>
      <c r="B149" s="221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212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207"/>
    </row>
    <row r="150" spans="1:37" ht="11.25" customHeight="1">
      <c r="A150" s="221"/>
      <c r="B150" s="221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212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207"/>
    </row>
    <row r="151" spans="1:37" ht="11.25" customHeight="1">
      <c r="A151" s="221"/>
      <c r="B151" s="221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212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207"/>
    </row>
    <row r="152" spans="1:37" ht="11.25" customHeight="1">
      <c r="A152" s="221"/>
      <c r="B152" s="221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212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207"/>
    </row>
    <row r="153" spans="1:37" ht="11.25" customHeight="1">
      <c r="A153" s="221"/>
      <c r="B153" s="221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212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207"/>
    </row>
    <row r="154" spans="1:37" ht="11.25" customHeight="1">
      <c r="A154" s="221"/>
      <c r="B154" s="221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212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207"/>
    </row>
    <row r="155" spans="1:37" ht="11.25" customHeight="1">
      <c r="A155" s="221"/>
      <c r="B155" s="221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212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207"/>
    </row>
    <row r="156" spans="1:37" ht="11.25" customHeight="1">
      <c r="A156" s="221"/>
      <c r="B156" s="221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212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207"/>
    </row>
    <row r="157" spans="1:37" ht="11.25" customHeight="1">
      <c r="A157" s="221"/>
      <c r="B157" s="221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212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207"/>
    </row>
    <row r="158" spans="1:37" ht="11.25" customHeight="1">
      <c r="A158" s="221"/>
      <c r="B158" s="221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212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207"/>
    </row>
    <row r="159" spans="1:37" ht="11.25" customHeight="1">
      <c r="A159" s="221"/>
      <c r="B159" s="221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212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207"/>
    </row>
    <row r="160" spans="1:37" ht="11.25" customHeight="1">
      <c r="A160" s="221"/>
      <c r="B160" s="221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212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207"/>
    </row>
    <row r="161" spans="1:37" ht="11.25" customHeight="1">
      <c r="A161" s="221"/>
      <c r="B161" s="221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212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207"/>
    </row>
    <row r="162" spans="1:37" ht="11.25" customHeight="1">
      <c r="A162" s="221"/>
      <c r="B162" s="221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212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207"/>
    </row>
    <row r="163" spans="1:37" ht="11.25" customHeight="1">
      <c r="A163" s="221"/>
      <c r="B163" s="221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212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207"/>
    </row>
    <row r="164" spans="1:37" ht="11.25" customHeight="1">
      <c r="A164" s="221"/>
      <c r="B164" s="221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212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207"/>
    </row>
    <row r="165" spans="1:37" ht="11.25" customHeight="1">
      <c r="A165" s="221"/>
      <c r="B165" s="221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212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207"/>
    </row>
    <row r="166" spans="1:37" ht="11.25" customHeight="1">
      <c r="A166" s="221"/>
      <c r="B166" s="221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212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207"/>
    </row>
    <row r="167" spans="1:37" ht="11.25" customHeight="1">
      <c r="A167" s="221"/>
      <c r="B167" s="221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212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207"/>
    </row>
    <row r="168" spans="1:37" ht="11.25" customHeight="1">
      <c r="A168" s="221"/>
      <c r="B168" s="221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212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207"/>
    </row>
    <row r="169" spans="1:37" ht="11.25" customHeight="1">
      <c r="A169" s="221"/>
      <c r="B169" s="221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212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207"/>
    </row>
    <row r="170" spans="1:37" ht="11.25" customHeight="1">
      <c r="A170" s="221"/>
      <c r="B170" s="221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212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207"/>
    </row>
    <row r="171" spans="1:37" ht="11.25" customHeight="1">
      <c r="A171" s="221"/>
      <c r="B171" s="221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212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207"/>
    </row>
    <row r="172" spans="1:37" ht="11.25" customHeight="1">
      <c r="A172" s="221"/>
      <c r="B172" s="221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212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207"/>
    </row>
    <row r="173" spans="1:37" ht="11.25" customHeight="1">
      <c r="A173" s="221"/>
      <c r="B173" s="221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212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207"/>
    </row>
    <row r="174" spans="1:37" ht="11.25" customHeight="1">
      <c r="A174" s="221"/>
      <c r="B174" s="221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212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207"/>
    </row>
    <row r="175" spans="1:37" ht="11.25" customHeight="1">
      <c r="A175" s="221"/>
      <c r="B175" s="221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212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207"/>
    </row>
    <row r="176" spans="1:37" ht="11.25" customHeight="1">
      <c r="A176" s="221"/>
      <c r="B176" s="221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212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207"/>
    </row>
    <row r="177" spans="1:37" ht="11.25" customHeight="1">
      <c r="A177" s="221"/>
      <c r="B177" s="221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212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207"/>
    </row>
    <row r="178" spans="1:37" ht="11.25" customHeight="1">
      <c r="A178" s="221"/>
      <c r="B178" s="221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212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207"/>
    </row>
    <row r="179" spans="1:37" ht="11.25" customHeight="1">
      <c r="A179" s="221"/>
      <c r="B179" s="221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212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207"/>
    </row>
    <row r="180" spans="1:37" ht="11.25" customHeight="1">
      <c r="A180" s="221"/>
      <c r="B180" s="221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212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207"/>
    </row>
    <row r="181" spans="1:37" ht="11.25" customHeight="1">
      <c r="A181" s="221"/>
      <c r="B181" s="221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212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207"/>
    </row>
    <row r="182" spans="1:37" ht="11.25" customHeight="1">
      <c r="A182" s="221"/>
      <c r="B182" s="221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212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207"/>
    </row>
    <row r="183" spans="1:37" ht="11.25" customHeight="1">
      <c r="A183" s="221"/>
      <c r="B183" s="221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212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207"/>
    </row>
    <row r="184" spans="1:37" ht="11.25" customHeight="1">
      <c r="A184" s="221"/>
      <c r="B184" s="221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212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207"/>
    </row>
    <row r="185" spans="1:37" ht="11.25" customHeight="1">
      <c r="A185" s="221"/>
      <c r="B185" s="221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212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207"/>
    </row>
    <row r="186" spans="1:37" ht="11.25" customHeight="1">
      <c r="A186" s="221"/>
      <c r="B186" s="221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212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207"/>
    </row>
    <row r="187" spans="1:37" ht="11.25" customHeight="1">
      <c r="A187" s="221"/>
      <c r="B187" s="221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212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207"/>
    </row>
    <row r="188" spans="1:37" ht="11.25" customHeight="1">
      <c r="A188" s="221"/>
      <c r="B188" s="221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212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207"/>
    </row>
    <row r="189" spans="1:37" ht="11.25" customHeight="1">
      <c r="A189" s="221"/>
      <c r="B189" s="221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212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207"/>
    </row>
    <row r="190" spans="1:37" ht="11.25" customHeight="1">
      <c r="A190" s="221"/>
      <c r="B190" s="221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212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207"/>
    </row>
    <row r="191" spans="1:37" ht="11.25" customHeight="1">
      <c r="A191" s="221"/>
      <c r="B191" s="221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212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207"/>
    </row>
    <row r="192" spans="1:37" ht="11.25" customHeight="1">
      <c r="A192" s="221"/>
      <c r="B192" s="221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212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207"/>
    </row>
    <row r="193" spans="1:37" ht="11.25" customHeight="1">
      <c r="A193" s="221"/>
      <c r="B193" s="221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212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207"/>
    </row>
    <row r="194" spans="1:37" ht="11.25" customHeight="1">
      <c r="A194" s="221"/>
      <c r="B194" s="221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212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207"/>
    </row>
    <row r="195" spans="1:37" ht="11.25" customHeight="1">
      <c r="A195" s="221"/>
      <c r="B195" s="221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212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207"/>
    </row>
    <row r="196" spans="1:37" ht="11.25" customHeight="1">
      <c r="A196" s="221"/>
      <c r="B196" s="221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212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207"/>
    </row>
    <row r="197" spans="1:37" ht="11.25" customHeight="1">
      <c r="A197" s="221"/>
      <c r="B197" s="221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212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207"/>
    </row>
    <row r="198" spans="1:37" ht="11.25" customHeight="1">
      <c r="A198" s="221"/>
      <c r="B198" s="221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212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207"/>
    </row>
    <row r="199" spans="1:37" ht="11.25" customHeight="1">
      <c r="A199" s="221"/>
      <c r="B199" s="221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212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207"/>
    </row>
    <row r="200" spans="1:37" ht="11.25" customHeight="1">
      <c r="A200" s="221"/>
      <c r="B200" s="221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212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207"/>
    </row>
    <row r="201" spans="1:37" ht="11.25" customHeight="1">
      <c r="A201" s="221"/>
      <c r="B201" s="221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212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207"/>
    </row>
    <row r="202" spans="1:37" ht="11.25" customHeight="1">
      <c r="A202" s="221"/>
      <c r="B202" s="221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212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207"/>
    </row>
    <row r="203" spans="1:37" ht="11.25" customHeight="1">
      <c r="A203" s="221"/>
      <c r="B203" s="221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212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207"/>
    </row>
    <row r="204" spans="1:37" ht="11.25" customHeight="1">
      <c r="A204" s="221"/>
      <c r="B204" s="221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212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207"/>
    </row>
    <row r="205" spans="1:37" ht="11.25" customHeight="1">
      <c r="A205" s="221"/>
      <c r="B205" s="221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212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207"/>
    </row>
    <row r="206" spans="1:37" ht="11.25" customHeight="1">
      <c r="A206" s="221"/>
      <c r="B206" s="221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212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207"/>
    </row>
    <row r="207" spans="1:37" ht="11.25" customHeight="1">
      <c r="A207" s="221"/>
      <c r="B207" s="221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212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207"/>
    </row>
    <row r="208" spans="1:37" ht="11.25" customHeight="1">
      <c r="A208" s="221"/>
      <c r="B208" s="221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212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207"/>
    </row>
    <row r="209" spans="1:37" ht="11.25" customHeight="1">
      <c r="A209" s="221"/>
      <c r="B209" s="221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212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207"/>
    </row>
    <row r="210" spans="1:37" ht="11.25" customHeight="1">
      <c r="A210" s="221"/>
      <c r="B210" s="221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212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207"/>
    </row>
    <row r="211" spans="1:37" ht="11.25" customHeight="1">
      <c r="A211" s="221"/>
      <c r="B211" s="221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212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207"/>
    </row>
    <row r="212" spans="1:37" ht="11.25" customHeight="1">
      <c r="A212" s="221"/>
      <c r="B212" s="221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212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207"/>
    </row>
    <row r="213" spans="1:37" ht="11.25" customHeight="1">
      <c r="A213" s="221"/>
      <c r="B213" s="221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212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207"/>
    </row>
    <row r="214" spans="1:37" ht="11.25" customHeight="1">
      <c r="A214" s="221"/>
      <c r="B214" s="221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212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207"/>
    </row>
    <row r="215" spans="1:37" ht="11.25" customHeight="1">
      <c r="A215" s="221"/>
      <c r="B215" s="221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212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207"/>
    </row>
    <row r="216" spans="1:37" ht="11.25" customHeight="1">
      <c r="A216" s="221"/>
      <c r="B216" s="221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212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207"/>
    </row>
    <row r="217" spans="1:37" ht="11.25" customHeight="1">
      <c r="A217" s="221"/>
      <c r="B217" s="221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212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207"/>
    </row>
    <row r="218" spans="1:37" ht="11.25" customHeight="1">
      <c r="A218" s="221"/>
      <c r="B218" s="221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212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207"/>
    </row>
    <row r="219" spans="1:37" ht="11.25" customHeight="1">
      <c r="A219" s="221"/>
      <c r="B219" s="221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212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207"/>
    </row>
    <row r="220" spans="1:37" ht="11.25" customHeight="1">
      <c r="A220" s="221"/>
      <c r="B220" s="221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212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207"/>
    </row>
    <row r="221" spans="1:37" ht="11.25" customHeight="1">
      <c r="A221" s="221"/>
      <c r="B221" s="221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212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207"/>
    </row>
    <row r="222" spans="1:37" ht="11.25" customHeight="1">
      <c r="A222" s="221"/>
      <c r="B222" s="221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212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207"/>
    </row>
    <row r="223" spans="1:37" ht="11.25" customHeight="1">
      <c r="A223" s="221"/>
      <c r="B223" s="221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212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207"/>
    </row>
    <row r="224" spans="1:37" ht="11.25" customHeight="1">
      <c r="A224" s="221"/>
      <c r="B224" s="221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212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207"/>
    </row>
    <row r="225" spans="1:37" ht="11.25" customHeight="1">
      <c r="A225" s="221"/>
      <c r="B225" s="221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212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207"/>
    </row>
    <row r="226" spans="1:37" ht="11.25" customHeight="1">
      <c r="A226" s="221"/>
      <c r="B226" s="221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212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207"/>
    </row>
    <row r="227" spans="1:37" ht="11.25" customHeight="1">
      <c r="A227" s="221"/>
      <c r="B227" s="221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212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207"/>
    </row>
    <row r="228" spans="1:37" ht="11.25" customHeight="1">
      <c r="A228" s="221"/>
      <c r="B228" s="221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212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207"/>
    </row>
    <row r="229" spans="1:37" ht="11.25" customHeight="1">
      <c r="A229" s="221"/>
      <c r="B229" s="221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212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207"/>
    </row>
    <row r="230" spans="1:37" ht="11.25" customHeight="1">
      <c r="A230" s="221"/>
      <c r="B230" s="221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212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207"/>
    </row>
    <row r="231" spans="1:37" ht="11.25" customHeight="1">
      <c r="A231" s="221"/>
      <c r="B231" s="221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212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207"/>
    </row>
    <row r="232" spans="1:37" ht="11.25" customHeight="1">
      <c r="A232" s="221"/>
      <c r="B232" s="221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212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207"/>
    </row>
    <row r="233" spans="1:37" ht="11.25" customHeight="1">
      <c r="A233" s="221"/>
      <c r="B233" s="221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212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207"/>
    </row>
    <row r="234" spans="1:37" ht="11.25" customHeight="1">
      <c r="A234" s="221"/>
      <c r="B234" s="221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212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207"/>
    </row>
    <row r="235" spans="1:37" ht="11.25" customHeight="1">
      <c r="A235" s="221"/>
      <c r="B235" s="221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212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207"/>
    </row>
    <row r="236" spans="1:37" ht="11.25" customHeight="1">
      <c r="A236" s="221"/>
      <c r="B236" s="221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212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207"/>
    </row>
    <row r="237" spans="1:37" ht="11.25" customHeight="1">
      <c r="A237" s="221"/>
      <c r="B237" s="221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212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207"/>
    </row>
    <row r="238" spans="1:37" ht="11.25" customHeight="1">
      <c r="A238" s="221"/>
      <c r="B238" s="221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212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207"/>
    </row>
    <row r="239" spans="1:37" ht="11.25" customHeight="1">
      <c r="A239" s="221"/>
      <c r="B239" s="221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212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207"/>
    </row>
    <row r="240" spans="1:37" ht="11.25" customHeight="1">
      <c r="A240" s="221"/>
      <c r="B240" s="221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212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207"/>
    </row>
    <row r="241" spans="1:37" ht="11.25" customHeight="1">
      <c r="A241" s="221"/>
      <c r="B241" s="221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212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207"/>
    </row>
    <row r="242" spans="1:37" ht="11.25" customHeight="1">
      <c r="A242" s="221"/>
      <c r="B242" s="221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212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207"/>
    </row>
    <row r="243" spans="1:37" ht="11.25" customHeight="1">
      <c r="A243" s="221"/>
      <c r="B243" s="221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212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207"/>
    </row>
    <row r="244" spans="1:37" ht="11.25" customHeight="1">
      <c r="A244" s="221"/>
      <c r="B244" s="221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212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207"/>
    </row>
    <row r="245" spans="1:37" ht="11.25" customHeight="1">
      <c r="A245" s="221"/>
      <c r="B245" s="221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212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207"/>
    </row>
    <row r="246" spans="1:37" ht="11.25" customHeight="1">
      <c r="A246" s="221"/>
      <c r="B246" s="221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212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207"/>
    </row>
    <row r="247" spans="1:37" ht="11.25" customHeight="1">
      <c r="A247" s="221"/>
      <c r="B247" s="221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212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207"/>
    </row>
    <row r="248" spans="1:37" ht="11.25" customHeight="1">
      <c r="A248" s="221"/>
      <c r="B248" s="221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212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207"/>
    </row>
    <row r="249" spans="1:37" ht="11.25" customHeight="1">
      <c r="A249" s="221"/>
      <c r="B249" s="221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212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207"/>
    </row>
    <row r="250" spans="1:37" ht="11.25" customHeight="1">
      <c r="A250" s="221"/>
      <c r="B250" s="221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212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207"/>
    </row>
    <row r="251" spans="1:37" ht="11.25" customHeight="1">
      <c r="A251" s="221"/>
      <c r="B251" s="221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212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207"/>
    </row>
    <row r="252" spans="1:37" ht="11.25" customHeight="1">
      <c r="A252" s="221"/>
      <c r="B252" s="221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212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207"/>
    </row>
    <row r="253" spans="1:37" ht="11.25" customHeight="1">
      <c r="A253" s="221"/>
      <c r="B253" s="221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212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207"/>
    </row>
    <row r="254" spans="1:37" ht="11.25" customHeight="1">
      <c r="A254" s="221"/>
      <c r="B254" s="221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212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207"/>
    </row>
    <row r="255" spans="1:37" ht="11.25" customHeight="1">
      <c r="A255" s="221"/>
      <c r="B255" s="221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212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207"/>
    </row>
    <row r="256" spans="1:37" ht="11.25" customHeight="1">
      <c r="A256" s="221"/>
      <c r="B256" s="221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212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207"/>
    </row>
    <row r="257" spans="1:37" ht="11.25" customHeight="1">
      <c r="A257" s="221"/>
      <c r="B257" s="221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212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207"/>
    </row>
    <row r="258" spans="1:37" ht="11.25" customHeight="1">
      <c r="A258" s="221"/>
      <c r="B258" s="221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212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207"/>
    </row>
    <row r="259" spans="1:37" ht="11.25" customHeight="1">
      <c r="A259" s="221"/>
      <c r="B259" s="221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212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207"/>
    </row>
    <row r="260" spans="1:37" ht="11.25" customHeight="1">
      <c r="A260" s="221"/>
      <c r="B260" s="221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212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207"/>
    </row>
    <row r="261" spans="1:37" ht="11.25" customHeight="1">
      <c r="A261" s="221"/>
      <c r="B261" s="221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212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207"/>
    </row>
    <row r="262" spans="1:37" ht="11.25" customHeight="1">
      <c r="A262" s="221"/>
      <c r="B262" s="221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212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207"/>
    </row>
    <row r="263" spans="1:37" ht="11.25" customHeight="1">
      <c r="A263" s="221"/>
      <c r="B263" s="221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212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207"/>
    </row>
    <row r="264" spans="1:37" ht="11.25" customHeight="1">
      <c r="A264" s="221"/>
      <c r="B264" s="221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212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207"/>
    </row>
    <row r="265" spans="1:37" ht="11.25" customHeight="1">
      <c r="A265" s="221"/>
      <c r="B265" s="221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212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207"/>
    </row>
    <row r="266" spans="1:37" ht="11.25" customHeight="1">
      <c r="A266" s="221"/>
      <c r="B266" s="221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212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207"/>
    </row>
    <row r="267" spans="1:37" ht="11.25" customHeight="1">
      <c r="A267" s="221"/>
      <c r="B267" s="221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212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207"/>
    </row>
    <row r="268" spans="1:37" ht="11.25" customHeight="1">
      <c r="A268" s="221"/>
      <c r="B268" s="221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212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207"/>
    </row>
    <row r="269" spans="1:37" ht="11.25" customHeight="1">
      <c r="A269" s="221"/>
      <c r="B269" s="221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212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207"/>
    </row>
    <row r="270" spans="1:37" ht="11.25" customHeight="1">
      <c r="A270" s="221"/>
      <c r="B270" s="221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212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207"/>
    </row>
    <row r="271" spans="1:37" ht="11.25" customHeight="1">
      <c r="A271" s="221"/>
      <c r="B271" s="221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212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207"/>
    </row>
    <row r="272" spans="1:37" ht="11.25" customHeight="1">
      <c r="A272" s="221"/>
      <c r="B272" s="221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212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207"/>
    </row>
    <row r="273" spans="1:37" ht="11.25" customHeight="1">
      <c r="A273" s="221"/>
      <c r="B273" s="221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212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207"/>
    </row>
    <row r="274" spans="1:37" ht="11.25" customHeight="1">
      <c r="A274" s="221"/>
      <c r="B274" s="221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212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207"/>
    </row>
    <row r="275" spans="1:37" ht="11.25" customHeight="1">
      <c r="A275" s="221"/>
      <c r="B275" s="221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212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207"/>
    </row>
    <row r="276" spans="1:37" ht="11.25" customHeight="1">
      <c r="A276" s="221"/>
      <c r="B276" s="221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212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207"/>
    </row>
    <row r="277" spans="1:37" ht="11.25" customHeight="1">
      <c r="A277" s="221"/>
      <c r="B277" s="221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212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207"/>
    </row>
    <row r="278" spans="1:37" ht="11.25" customHeight="1">
      <c r="A278" s="221"/>
      <c r="B278" s="221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212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207"/>
    </row>
    <row r="279" spans="1:37" ht="11.25" customHeight="1">
      <c r="A279" s="221"/>
      <c r="B279" s="221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212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207"/>
    </row>
    <row r="280" spans="1:37" ht="11.25" customHeight="1">
      <c r="A280" s="221"/>
      <c r="B280" s="221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212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207"/>
    </row>
    <row r="281" spans="1:37" ht="11.25" customHeight="1">
      <c r="A281" s="221"/>
      <c r="B281" s="221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212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207"/>
    </row>
    <row r="282" spans="1:37" ht="11.25" customHeight="1">
      <c r="A282" s="221"/>
      <c r="B282" s="221"/>
      <c r="C282" s="297" t="str">
        <f>Ср.мес.Т!B1</f>
        <v>Таблица 3 - Средняя месячная и средне годовая температура воздуха, °С</v>
      </c>
      <c r="D282" s="297"/>
      <c r="E282" s="297"/>
      <c r="F282" s="297"/>
      <c r="G282" s="222" t="str">
        <f>Ср.мес.Т!F3</f>
        <v xml:space="preserve">I </v>
      </c>
      <c r="H282" s="223">
        <f>VLOOKUP(I91,Ср.мес.Т!A6:BP1315,G91)</f>
        <v>-10.199999999999999</v>
      </c>
      <c r="I282" s="222" t="str">
        <f>Ср.мес.Т!I3</f>
        <v>IV</v>
      </c>
      <c r="J282" s="223">
        <f>VLOOKUP(I95,Ср.мес.Т!A9:BP1318,G95)</f>
        <v>4.4000000000000004</v>
      </c>
      <c r="K282" s="222" t="str">
        <f>Ср.мес.Т!L3</f>
        <v>VII</v>
      </c>
      <c r="L282" s="223">
        <f>VLOOKUP(I98,Ср.мес.Т!A12:BP1321,G98)</f>
        <v>18.100000000000001</v>
      </c>
      <c r="M282" s="222" t="str">
        <f>Ср.мес.Т!O3</f>
        <v>X</v>
      </c>
      <c r="N282" s="223">
        <f>VLOOKUP(I101,Ср.мес.Т!A15:BP1324,G101)</f>
        <v>4.3</v>
      </c>
      <c r="O282" s="224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207"/>
    </row>
    <row r="283" spans="1:37" ht="11.25" customHeight="1">
      <c r="A283" s="221"/>
      <c r="B283" s="221"/>
      <c r="C283" s="297"/>
      <c r="D283" s="297"/>
      <c r="E283" s="297"/>
      <c r="F283" s="297"/>
      <c r="G283" s="222" t="str">
        <f>Ср.мес.Т!G3</f>
        <v>II</v>
      </c>
      <c r="H283" s="223">
        <f>VLOOKUP(I92,Ср.мес.Т!A7:BP1316,G92)</f>
        <v>-9.1999999999999993</v>
      </c>
      <c r="I283" s="222" t="str">
        <f>Ср.мес.Т!J3</f>
        <v>V</v>
      </c>
      <c r="J283" s="223">
        <f>VLOOKUP(I96,Ср.мес.Т!A10:BP1319,G96)</f>
        <v>11.9</v>
      </c>
      <c r="K283" s="222" t="str">
        <f>Ср.мес.Т!M3</f>
        <v>VIII</v>
      </c>
      <c r="L283" s="223">
        <f>VLOOKUP(I99,Ср.мес.Т!A13:BP1322,G99)</f>
        <v>16.3</v>
      </c>
      <c r="M283" s="222" t="str">
        <f>Ср.мес.Т!P3</f>
        <v>XI</v>
      </c>
      <c r="N283" s="223">
        <f>VLOOKUP(I102,Ср.мес.Т!A16:BP1325,G102)</f>
        <v>-1.9</v>
      </c>
      <c r="O283" s="224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207"/>
    </row>
    <row r="284" spans="1:37" ht="11.25" customHeight="1">
      <c r="A284" s="221"/>
      <c r="B284" s="221"/>
      <c r="C284" s="297"/>
      <c r="D284" s="297"/>
      <c r="E284" s="297"/>
      <c r="F284" s="297"/>
      <c r="G284" s="222" t="str">
        <f>Ср.мес.Т!H3</f>
        <v>III</v>
      </c>
      <c r="H284" s="223">
        <f>VLOOKUP(I93,Ср.мес.Т!A8:BP1317,G93)</f>
        <v>-4.3</v>
      </c>
      <c r="I284" s="222" t="str">
        <f>Ср.мес.Т!K3</f>
        <v>VI</v>
      </c>
      <c r="J284" s="223">
        <f>VLOOKUP(I97,Ср.мес.Т!A11:BP1320,G97)</f>
        <v>16</v>
      </c>
      <c r="K284" s="222" t="str">
        <f>Ср.мес.Т!N3</f>
        <v>IX</v>
      </c>
      <c r="L284" s="223">
        <f>VLOOKUP(I100,Ср.мес.Т!A14:BP1323,G100)</f>
        <v>10.7</v>
      </c>
      <c r="M284" s="222" t="str">
        <f>Ср.мес.Т!Q3</f>
        <v>XII</v>
      </c>
      <c r="N284" s="223">
        <f>VLOOKUP(I103,Ср.мес.Т!A17:BP1326,G103)</f>
        <v>-7.3</v>
      </c>
      <c r="O284" s="224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207"/>
    </row>
    <row r="285" spans="1:37" ht="11.25" customHeight="1">
      <c r="A285" s="221"/>
      <c r="B285" s="221"/>
      <c r="C285" s="297"/>
      <c r="D285" s="297"/>
      <c r="E285" s="297"/>
      <c r="F285" s="297"/>
      <c r="G285" s="952" t="str">
        <f>Ср.мес.Т!R3</f>
        <v>Год</v>
      </c>
      <c r="H285" s="952"/>
      <c r="I285" s="952"/>
      <c r="J285" s="952"/>
      <c r="K285" s="952"/>
      <c r="L285" s="952"/>
      <c r="M285" s="952"/>
      <c r="N285" s="223">
        <f>VLOOKUP(I104,Ср.мес.Т!A18:BP1327,G104)</f>
        <v>4.0999999999999996</v>
      </c>
      <c r="O285" s="224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207"/>
    </row>
    <row r="286" spans="1:37" ht="11.25" customHeight="1">
      <c r="A286" s="221"/>
      <c r="B286" s="221"/>
      <c r="C286" s="225"/>
      <c r="D286" s="225"/>
      <c r="E286" s="225"/>
      <c r="F286" s="225"/>
      <c r="G286" s="225"/>
      <c r="H286" s="225"/>
      <c r="I286" s="225"/>
      <c r="J286" s="225"/>
      <c r="K286" s="225"/>
      <c r="L286" s="225"/>
      <c r="M286" s="226"/>
      <c r="N286" s="223"/>
      <c r="O286" s="224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207"/>
    </row>
    <row r="287" spans="1:37" ht="11.25" customHeight="1">
      <c r="A287" s="221"/>
      <c r="B287" s="221"/>
      <c r="C287" s="225"/>
      <c r="D287" s="225"/>
      <c r="E287" s="225"/>
      <c r="F287" s="225"/>
      <c r="G287" s="225"/>
      <c r="H287" s="225"/>
      <c r="I287" s="225"/>
      <c r="J287" s="225"/>
      <c r="K287" s="225"/>
      <c r="L287" s="225"/>
      <c r="M287" s="226"/>
      <c r="N287" s="223"/>
      <c r="O287" s="224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207"/>
    </row>
    <row r="288" spans="1:37" ht="11.25" customHeight="1">
      <c r="A288" s="221"/>
      <c r="B288" s="221"/>
      <c r="C288" s="225"/>
      <c r="D288" s="225"/>
      <c r="E288" s="225"/>
      <c r="F288" s="225"/>
      <c r="G288" s="225"/>
      <c r="H288" s="225"/>
      <c r="I288" s="225"/>
      <c r="J288" s="225"/>
      <c r="K288" s="225"/>
      <c r="L288" s="225"/>
      <c r="M288" s="226"/>
      <c r="N288" s="223"/>
      <c r="O288" s="224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207"/>
    </row>
    <row r="289" spans="1:37" ht="11.25" customHeight="1">
      <c r="A289" s="221"/>
      <c r="B289" s="221"/>
      <c r="C289" s="225"/>
      <c r="D289" s="225"/>
      <c r="E289" s="225"/>
      <c r="F289" s="225"/>
      <c r="G289" s="225"/>
      <c r="H289" s="225"/>
      <c r="I289" s="225"/>
      <c r="J289" s="225"/>
      <c r="K289" s="226"/>
      <c r="L289" s="226"/>
      <c r="M289" s="226"/>
      <c r="N289" s="223"/>
      <c r="O289" s="224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207"/>
    </row>
    <row r="290" spans="1:37" ht="11.25" customHeight="1">
      <c r="A290" s="221"/>
      <c r="B290" s="221"/>
      <c r="C290" s="225"/>
      <c r="D290" s="225"/>
      <c r="E290" s="225"/>
      <c r="F290" s="225"/>
      <c r="G290" s="225"/>
      <c r="H290" s="225"/>
      <c r="I290" s="225"/>
      <c r="J290" s="225"/>
      <c r="K290" s="226"/>
      <c r="L290" s="226"/>
      <c r="M290" s="226"/>
      <c r="N290" s="223"/>
      <c r="O290" s="224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207"/>
    </row>
    <row r="291" spans="1:37" ht="11.25" customHeight="1">
      <c r="A291" s="221"/>
      <c r="B291" s="221"/>
      <c r="C291" s="225"/>
      <c r="D291" s="225"/>
      <c r="E291" s="225"/>
      <c r="F291" s="225"/>
      <c r="G291" s="225"/>
      <c r="H291" s="225"/>
      <c r="I291" s="225"/>
      <c r="J291" s="225"/>
      <c r="K291" s="226"/>
      <c r="L291" s="226"/>
      <c r="M291" s="226"/>
      <c r="N291" s="223"/>
      <c r="O291" s="224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207"/>
    </row>
    <row r="292" spans="1:37" ht="11.25" customHeight="1">
      <c r="A292" s="221"/>
      <c r="B292" s="221"/>
      <c r="C292" s="225"/>
      <c r="D292" s="225"/>
      <c r="E292" s="225"/>
      <c r="F292" s="225"/>
      <c r="G292" s="225"/>
      <c r="H292" s="225"/>
      <c r="I292" s="226"/>
      <c r="J292" s="226"/>
      <c r="K292" s="226"/>
      <c r="L292" s="226"/>
      <c r="M292" s="226"/>
      <c r="N292" s="223"/>
      <c r="O292" s="224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207"/>
    </row>
    <row r="293" spans="1:37" ht="11.25" customHeight="1">
      <c r="A293" s="221"/>
      <c r="B293" s="221"/>
      <c r="C293" s="225"/>
      <c r="D293" s="225"/>
      <c r="E293" s="225"/>
      <c r="F293" s="225"/>
      <c r="G293" s="225"/>
      <c r="H293" s="225"/>
      <c r="I293" s="226"/>
      <c r="J293" s="226"/>
      <c r="K293" s="226"/>
      <c r="L293" s="226"/>
      <c r="M293" s="226"/>
      <c r="N293" s="223"/>
      <c r="O293" s="224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207"/>
    </row>
    <row r="294" spans="1:37" ht="11.25" customHeight="1">
      <c r="A294" s="221"/>
      <c r="B294" s="221"/>
      <c r="C294" s="225"/>
      <c r="D294" s="225"/>
      <c r="E294" s="225"/>
      <c r="F294" s="225"/>
      <c r="G294" s="225"/>
      <c r="H294" s="225"/>
      <c r="I294" s="226"/>
      <c r="J294" s="226"/>
      <c r="K294" s="226"/>
      <c r="L294" s="226"/>
      <c r="M294" s="226"/>
      <c r="N294" s="223"/>
      <c r="O294" s="224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207"/>
    </row>
    <row r="295" spans="1:37" ht="11.25" customHeight="1">
      <c r="A295" s="221"/>
      <c r="B295" s="221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7"/>
      <c r="N295" s="223">
        <f>VLOOKUP(I105,Ср.мес.Т!A19:BP1328,G105)</f>
        <v>212</v>
      </c>
      <c r="O295" s="224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207"/>
    </row>
    <row r="296" spans="1:37" ht="11.25" customHeight="1">
      <c r="A296" s="221"/>
      <c r="B296" s="221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7"/>
      <c r="N296" s="223" t="str">
        <f>VLOOKUP(I106,Ср.мес.Т!A20:BP1329,G106)</f>
        <v xml:space="preserve">Москва                   </v>
      </c>
      <c r="O296" s="224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207"/>
    </row>
    <row r="297" spans="1:37" ht="11.25" customHeight="1">
      <c r="A297" s="221"/>
      <c r="B297" s="221"/>
      <c r="C297" s="953" t="str">
        <f>Ср.мес.Т!T1</f>
        <v>Таблица 1 - Климатические параметры холодного периода года</v>
      </c>
      <c r="D297" s="228"/>
      <c r="E297" s="228"/>
      <c r="F297" s="954" t="str">
        <f>Ср.мес.Т!U2</f>
        <v xml:space="preserve">Температура   воздуха   наиболее    холодных   суток °С, Обеспеченностью </v>
      </c>
      <c r="G297" s="954"/>
      <c r="H297" s="954"/>
      <c r="I297" s="954"/>
      <c r="J297" s="954"/>
      <c r="K297" s="954"/>
      <c r="L297" s="954"/>
      <c r="M297" s="222">
        <f>Ср.мес.Т!U3</f>
        <v>0.98</v>
      </c>
      <c r="N297" s="223">
        <f>VLOOKUP(I107,Ср.мес.Т!A21:BP1330,G107)</f>
        <v>-36</v>
      </c>
      <c r="O297" s="224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207"/>
    </row>
    <row r="298" spans="1:37" ht="11.25" customHeight="1">
      <c r="A298" s="221"/>
      <c r="B298" s="221"/>
      <c r="C298" s="953"/>
      <c r="D298" s="228"/>
      <c r="E298" s="228"/>
      <c r="F298" s="954"/>
      <c r="G298" s="954"/>
      <c r="H298" s="954"/>
      <c r="I298" s="954"/>
      <c r="J298" s="954"/>
      <c r="K298" s="954"/>
      <c r="L298" s="954"/>
      <c r="M298" s="222">
        <f>Ср.мес.Т!V3</f>
        <v>0.92</v>
      </c>
      <c r="N298" s="223">
        <f>VLOOKUP(I110,Ср.мес.Т!A22:BP1331,G110)</f>
        <v>-32</v>
      </c>
      <c r="O298" s="224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207"/>
    </row>
    <row r="299" spans="1:37" ht="11.25" customHeight="1">
      <c r="A299" s="221"/>
      <c r="B299" s="221"/>
      <c r="C299" s="953"/>
      <c r="D299" s="228"/>
      <c r="E299" s="228"/>
      <c r="F299" s="954" t="str">
        <f>Ср.мес.Т!W2</f>
        <v xml:space="preserve">Температура воздуха  наиболее  холодной пятидневки,   °С   Обеспеченностью  </v>
      </c>
      <c r="G299" s="954"/>
      <c r="H299" s="954"/>
      <c r="I299" s="954"/>
      <c r="J299" s="954"/>
      <c r="K299" s="954"/>
      <c r="L299" s="954"/>
      <c r="M299" s="222">
        <f>Ср.мес.Т!W3</f>
        <v>0.98</v>
      </c>
      <c r="N299" s="223">
        <f>VLOOKUP(I111,Ср.мес.Т!A23:BP1332,G111)</f>
        <v>-30</v>
      </c>
      <c r="O299" s="224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207"/>
    </row>
    <row r="300" spans="1:37" ht="11.25" customHeight="1">
      <c r="A300" s="221"/>
      <c r="B300" s="221"/>
      <c r="C300" s="953"/>
      <c r="D300" s="228"/>
      <c r="E300" s="228"/>
      <c r="F300" s="954"/>
      <c r="G300" s="954"/>
      <c r="H300" s="954"/>
      <c r="I300" s="954"/>
      <c r="J300" s="954"/>
      <c r="K300" s="954"/>
      <c r="L300" s="954"/>
      <c r="M300" s="222">
        <f>Ср.мес.Т!X3</f>
        <v>0.92</v>
      </c>
      <c r="N300" s="223">
        <f>VLOOKUP(I112,Ср.мес.Т!A24:BP1333,G112)</f>
        <v>-28</v>
      </c>
      <c r="O300" s="224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207"/>
    </row>
    <row r="301" spans="1:37" ht="11.25" customHeight="1">
      <c r="A301" s="221"/>
      <c r="B301" s="221"/>
      <c r="C301" s="953"/>
      <c r="D301" s="228"/>
      <c r="E301" s="228"/>
      <c r="F301" s="954" t="str">
        <f>Ср.мес.Т!Y2</f>
        <v>Температура воздуха, °С, обеспеченностью 0,94</v>
      </c>
      <c r="G301" s="954"/>
      <c r="H301" s="954"/>
      <c r="I301" s="954"/>
      <c r="J301" s="954"/>
      <c r="K301" s="954"/>
      <c r="L301" s="954"/>
      <c r="M301" s="954"/>
      <c r="N301" s="223">
        <f>VLOOKUP(I113,Ср.мес.Т!A25:BP1334,G113)</f>
        <v>-15</v>
      </c>
      <c r="O301" s="224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207"/>
    </row>
    <row r="302" spans="1:37" ht="11.25" customHeight="1">
      <c r="A302" s="221"/>
      <c r="B302" s="221"/>
      <c r="C302" s="953"/>
      <c r="D302" s="228"/>
      <c r="E302" s="228"/>
      <c r="F302" s="954" t="str">
        <f>Ср.мес.Т!Z2</f>
        <v xml:space="preserve">Абсолютная минимальная температура  воздуха,    °С    </v>
      </c>
      <c r="G302" s="954"/>
      <c r="H302" s="954"/>
      <c r="I302" s="954"/>
      <c r="J302" s="954"/>
      <c r="K302" s="954"/>
      <c r="L302" s="954"/>
      <c r="M302" s="954"/>
      <c r="N302" s="223">
        <f>VLOOKUP(I114,Ср.мес.Т!A26:BP1335,G114)</f>
        <v>-42</v>
      </c>
      <c r="O302" s="224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207"/>
    </row>
    <row r="303" spans="1:37" ht="11.25" customHeight="1">
      <c r="A303" s="221"/>
      <c r="B303" s="221"/>
      <c r="C303" s="953"/>
      <c r="D303" s="228"/>
      <c r="E303" s="228"/>
      <c r="F303" s="954" t="str">
        <f>Ср.мес.Т!AA2</f>
        <v xml:space="preserve"> Средняя суточная амплитуда температуры воздуха наиболее холодного месяца,  °С        </v>
      </c>
      <c r="G303" s="954"/>
      <c r="H303" s="954"/>
      <c r="I303" s="954"/>
      <c r="J303" s="954"/>
      <c r="K303" s="954"/>
      <c r="L303" s="954"/>
      <c r="M303" s="954"/>
      <c r="N303" s="223">
        <f>VLOOKUP(I115,Ср.мес.Т!A27:BP1336,G115)</f>
        <v>6.5</v>
      </c>
      <c r="O303" s="224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207"/>
    </row>
    <row r="304" spans="1:37" ht="11.25" customHeight="1">
      <c r="A304" s="221"/>
      <c r="B304" s="221"/>
      <c r="C304" s="953"/>
      <c r="D304" s="228"/>
      <c r="E304" s="228"/>
      <c r="F304" s="95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4" s="954"/>
      <c r="H304" s="954"/>
      <c r="I304" s="954"/>
      <c r="J304" s="954"/>
      <c r="K304" s="954"/>
      <c r="L304" s="952" t="str">
        <f>Ср.мес.Т!AB3</f>
        <v>продолжительность</v>
      </c>
      <c r="M304" s="952"/>
      <c r="N304" s="223">
        <f>VLOOKUP(I116,Ср.мес.Т!A28:BP1337,G116)</f>
        <v>145</v>
      </c>
      <c r="O304" s="224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207"/>
    </row>
    <row r="305" spans="1:37" ht="11.25" customHeight="1">
      <c r="A305" s="221"/>
      <c r="B305" s="221"/>
      <c r="C305" s="953"/>
      <c r="D305" s="228"/>
      <c r="E305" s="228"/>
      <c r="F305" s="954"/>
      <c r="G305" s="954"/>
      <c r="H305" s="954"/>
      <c r="I305" s="954"/>
      <c r="J305" s="954"/>
      <c r="K305" s="954"/>
      <c r="L305" s="952" t="str">
        <f>Ср.мес.Т!AC3</f>
        <v>средняя температура</v>
      </c>
      <c r="M305" s="952"/>
      <c r="N305" s="223">
        <f>VLOOKUP(I117,Ср.мес.Т!A29:BP1338,G117)</f>
        <v>-6.5</v>
      </c>
      <c r="O305" s="224"/>
      <c r="P305" s="163"/>
      <c r="Q305" s="163"/>
      <c r="R305" s="163"/>
      <c r="S305" s="163"/>
      <c r="T305" s="163"/>
      <c r="U305" s="163"/>
      <c r="V305" s="163"/>
      <c r="W305" s="163"/>
      <c r="X305" s="163"/>
      <c r="Y305" s="163"/>
      <c r="Z305" s="163"/>
      <c r="AA305" s="163"/>
      <c r="AB305" s="163"/>
      <c r="AC305" s="163"/>
      <c r="AD305" s="163"/>
      <c r="AE305" s="163"/>
      <c r="AF305" s="163"/>
      <c r="AG305" s="163"/>
      <c r="AH305" s="163"/>
      <c r="AI305" s="163"/>
      <c r="AJ305" s="163"/>
      <c r="AK305" s="207"/>
    </row>
    <row r="306" spans="1:37" ht="11.25" customHeight="1">
      <c r="A306" s="221"/>
      <c r="B306" s="221"/>
      <c r="C306" s="953"/>
      <c r="D306" s="228"/>
      <c r="E306" s="228"/>
      <c r="F306" s="95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6" s="954"/>
      <c r="H306" s="954"/>
      <c r="I306" s="954"/>
      <c r="J306" s="954"/>
      <c r="K306" s="954"/>
      <c r="L306" s="952" t="str">
        <f>Ср.мес.Т!AD3</f>
        <v>продолжительность</v>
      </c>
      <c r="M306" s="952"/>
      <c r="N306" s="223">
        <f>VLOOKUP(I118,Ср.мес.Т!A30:BP1339,G118)</f>
        <v>214</v>
      </c>
      <c r="O306" s="224"/>
      <c r="P306" s="163"/>
      <c r="Q306" s="163"/>
      <c r="R306" s="163"/>
      <c r="S306" s="163"/>
      <c r="T306" s="163"/>
      <c r="U306" s="163"/>
      <c r="V306" s="163"/>
      <c r="W306" s="163"/>
      <c r="X306" s="163"/>
      <c r="Y306" s="163"/>
      <c r="Z306" s="163"/>
      <c r="AA306" s="163"/>
      <c r="AB306" s="163"/>
      <c r="AC306" s="163"/>
      <c r="AD306" s="163"/>
      <c r="AE306" s="163"/>
      <c r="AF306" s="163"/>
      <c r="AG306" s="163"/>
      <c r="AH306" s="163"/>
      <c r="AI306" s="163"/>
      <c r="AJ306" s="163"/>
      <c r="AK306" s="207"/>
    </row>
    <row r="307" spans="1:37" ht="11.25" customHeight="1">
      <c r="A307" s="221"/>
      <c r="B307" s="221"/>
      <c r="C307" s="953"/>
      <c r="D307" s="228"/>
      <c r="E307" s="228"/>
      <c r="F307" s="954"/>
      <c r="G307" s="954"/>
      <c r="H307" s="954"/>
      <c r="I307" s="954"/>
      <c r="J307" s="954"/>
      <c r="K307" s="954"/>
      <c r="L307" s="952" t="str">
        <f>Ср.мес.Т!AE3</f>
        <v>средняя температура</v>
      </c>
      <c r="M307" s="952"/>
      <c r="N307" s="223">
        <f>VLOOKUP(I119,Ср.мес.Т!A31:BP1340,G119)</f>
        <v>-3.1</v>
      </c>
      <c r="O307" s="224"/>
      <c r="P307" s="163"/>
      <c r="Q307" s="163"/>
      <c r="R307" s="163"/>
      <c r="S307" s="163"/>
      <c r="T307" s="163"/>
      <c r="U307" s="163"/>
      <c r="V307" s="163"/>
      <c r="W307" s="163"/>
      <c r="X307" s="163"/>
      <c r="Y307" s="163"/>
      <c r="Z307" s="163"/>
      <c r="AA307" s="163"/>
      <c r="AB307" s="163"/>
      <c r="AC307" s="163"/>
      <c r="AD307" s="163"/>
      <c r="AE307" s="163"/>
      <c r="AF307" s="163"/>
      <c r="AG307" s="163"/>
      <c r="AH307" s="163"/>
      <c r="AI307" s="163"/>
      <c r="AJ307" s="163"/>
      <c r="AK307" s="207"/>
    </row>
    <row r="308" spans="1:37" ht="11.25" customHeight="1">
      <c r="A308" s="221"/>
      <c r="B308" s="221"/>
      <c r="C308" s="953"/>
      <c r="D308" s="228"/>
      <c r="E308" s="228"/>
      <c r="F308" s="954" t="str">
        <f>Ср.мес.Т!AB2</f>
        <v>Продолжительность, сут, и средняя температура  воздуха, °С в  период  со средней суточной   температурой воздуха</v>
      </c>
      <c r="G308" s="954"/>
      <c r="H308" s="954"/>
      <c r="I308" s="954"/>
      <c r="J308" s="954"/>
      <c r="K308" s="954"/>
      <c r="L308" s="952" t="str">
        <f>Ср.мес.Т!AF3</f>
        <v>продолжительность</v>
      </c>
      <c r="M308" s="952"/>
      <c r="N308" s="223">
        <f>VLOOKUP(I120,Ср.мес.Т!A32:BP1341,G120)</f>
        <v>231</v>
      </c>
      <c r="O308" s="224"/>
      <c r="P308" s="163"/>
      <c r="Q308" s="163"/>
      <c r="R308" s="163"/>
      <c r="S308" s="163"/>
      <c r="T308" s="163"/>
      <c r="U308" s="163"/>
      <c r="V308" s="163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  <c r="AJ308" s="163"/>
      <c r="AK308" s="207"/>
    </row>
    <row r="309" spans="1:37" ht="11.25" customHeight="1">
      <c r="A309" s="221"/>
      <c r="B309" s="221"/>
      <c r="C309" s="953"/>
      <c r="D309" s="228"/>
      <c r="E309" s="228"/>
      <c r="F309" s="954"/>
      <c r="G309" s="954"/>
      <c r="H309" s="954"/>
      <c r="I309" s="954"/>
      <c r="J309" s="954"/>
      <c r="K309" s="954"/>
      <c r="L309" s="952" t="str">
        <f>Ср.мес.Т!AG3</f>
        <v>средняя температура</v>
      </c>
      <c r="M309" s="952"/>
      <c r="N309" s="223">
        <f>VLOOKUP(I121,Ср.мес.Т!A33:BP1342,G121)</f>
        <v>-2.2000000000000002</v>
      </c>
      <c r="O309" s="224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  <c r="AJ309" s="163"/>
      <c r="AK309" s="207"/>
    </row>
    <row r="310" spans="1:37" ht="11.25" customHeight="1">
      <c r="A310" s="221"/>
      <c r="B310" s="221"/>
      <c r="C310" s="953"/>
      <c r="D310" s="228"/>
      <c r="E310" s="228"/>
      <c r="F310" s="954" t="str">
        <f>Ср.мес.Т!AH2</f>
        <v xml:space="preserve">Средняя  месячная относительная влажность  воздуха   наиболее холодного месяца, % </v>
      </c>
      <c r="G310" s="954"/>
      <c r="H310" s="954"/>
      <c r="I310" s="954"/>
      <c r="J310" s="954"/>
      <c r="K310" s="954"/>
      <c r="L310" s="954"/>
      <c r="M310" s="954"/>
      <c r="N310" s="223">
        <f>VLOOKUP(I122,Ср.мес.Т!A34:BP1343,G122)</f>
        <v>84</v>
      </c>
      <c r="O310" s="224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63"/>
      <c r="AB310" s="163"/>
      <c r="AC310" s="163"/>
      <c r="AD310" s="163"/>
      <c r="AE310" s="163"/>
      <c r="AF310" s="163"/>
      <c r="AG310" s="163"/>
      <c r="AH310" s="163"/>
      <c r="AI310" s="163"/>
      <c r="AJ310" s="163"/>
      <c r="AK310" s="207"/>
    </row>
    <row r="311" spans="1:37" ht="11.25" customHeight="1">
      <c r="A311" s="221"/>
      <c r="B311" s="221"/>
      <c r="C311" s="953"/>
      <c r="D311" s="228"/>
      <c r="E311" s="228"/>
      <c r="F311" s="954" t="str">
        <f>Ср.мес.Т!AI2</f>
        <v xml:space="preserve">Средняя   месячная относительная  влажность воздуха в   15 ч    наиболее холодного месяца, % </v>
      </c>
      <c r="G311" s="954"/>
      <c r="H311" s="954"/>
      <c r="I311" s="954"/>
      <c r="J311" s="954"/>
      <c r="K311" s="954"/>
      <c r="L311" s="954"/>
      <c r="M311" s="954"/>
      <c r="N311" s="223">
        <f>VLOOKUP(I123,Ср.мес.Т!A35:BP1344,G123)</f>
        <v>77</v>
      </c>
      <c r="O311" s="224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  <c r="AJ311" s="163"/>
      <c r="AK311" s="207"/>
    </row>
    <row r="312" spans="1:37" ht="11.25" customHeight="1">
      <c r="A312" s="221"/>
      <c r="B312" s="221"/>
      <c r="C312" s="953"/>
      <c r="D312" s="228"/>
      <c r="E312" s="228"/>
      <c r="F312" s="954" t="str">
        <f>Ср.мес.Т!AJ2</f>
        <v xml:space="preserve">Количество осадков  за  ноябрь - март, мм   </v>
      </c>
      <c r="G312" s="954"/>
      <c r="H312" s="954"/>
      <c r="I312" s="954"/>
      <c r="J312" s="954"/>
      <c r="K312" s="954"/>
      <c r="L312" s="954"/>
      <c r="M312" s="954"/>
      <c r="N312" s="223">
        <f>VLOOKUP(I124,Ср.мес.Т!A36:BP1345,G124)</f>
        <v>201</v>
      </c>
      <c r="O312" s="224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63"/>
      <c r="AB312" s="163"/>
      <c r="AC312" s="163"/>
      <c r="AD312" s="163"/>
      <c r="AE312" s="163"/>
      <c r="AF312" s="163"/>
      <c r="AG312" s="163"/>
      <c r="AH312" s="163"/>
      <c r="AI312" s="163"/>
      <c r="AJ312" s="163"/>
      <c r="AK312" s="207"/>
    </row>
    <row r="313" spans="1:37" ht="11.25" customHeight="1">
      <c r="A313" s="221"/>
      <c r="B313" s="221"/>
      <c r="C313" s="953"/>
      <c r="D313" s="228"/>
      <c r="E313" s="228"/>
      <c r="F313" s="954" t="str">
        <f>Ср.мес.Т!AK2</f>
        <v xml:space="preserve">Преобладающее направление ветра за декабрь - февраль  </v>
      </c>
      <c r="G313" s="954"/>
      <c r="H313" s="954"/>
      <c r="I313" s="954"/>
      <c r="J313" s="954"/>
      <c r="K313" s="954"/>
      <c r="L313" s="954"/>
      <c r="M313" s="954"/>
      <c r="N313" s="223" t="str">
        <f>VLOOKUP(I125,Ср.мес.Т!A37:BP1346,G125)</f>
        <v xml:space="preserve">   ЮЗ    </v>
      </c>
      <c r="O313" s="224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63"/>
      <c r="AB313" s="163"/>
      <c r="AC313" s="163"/>
      <c r="AD313" s="163"/>
      <c r="AE313" s="163"/>
      <c r="AF313" s="163"/>
      <c r="AG313" s="163"/>
      <c r="AH313" s="163"/>
      <c r="AI313" s="163"/>
      <c r="AJ313" s="163"/>
      <c r="AK313" s="207"/>
    </row>
    <row r="314" spans="1:37" ht="11.25" customHeight="1">
      <c r="A314" s="221"/>
      <c r="B314" s="221"/>
      <c r="C314" s="953"/>
      <c r="D314" s="228"/>
      <c r="E314" s="228"/>
      <c r="F314" s="954" t="str">
        <f>Ср.мес.Т!AL2</f>
        <v xml:space="preserve">Максимальная  из средних скоростей ветра по румбам за  январь,    м/с   </v>
      </c>
      <c r="G314" s="954"/>
      <c r="H314" s="954"/>
      <c r="I314" s="954"/>
      <c r="J314" s="954"/>
      <c r="K314" s="954"/>
      <c r="L314" s="954"/>
      <c r="M314" s="954"/>
      <c r="N314" s="223">
        <f>VLOOKUP(I126,Ср.мес.Т!A38:BP1347,G126)</f>
        <v>4.9000000000000004</v>
      </c>
      <c r="O314" s="224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63"/>
      <c r="AB314" s="163"/>
      <c r="AC314" s="163"/>
      <c r="AD314" s="163"/>
      <c r="AE314" s="163"/>
      <c r="AF314" s="163"/>
      <c r="AG314" s="163"/>
      <c r="AH314" s="163"/>
      <c r="AI314" s="163"/>
      <c r="AJ314" s="163"/>
      <c r="AK314" s="207"/>
    </row>
    <row r="315" spans="1:37" ht="11.25" customHeight="1">
      <c r="A315" s="221"/>
      <c r="B315" s="221"/>
      <c r="C315" s="953"/>
      <c r="D315" s="228"/>
      <c r="E315" s="228"/>
      <c r="F315" s="954" t="str">
        <f>Ср.мес.Т!AM2</f>
        <v xml:space="preserve">Средняя скорость  ветра,  м/с, за период со  средней суточной температурой воздуха  </v>
      </c>
      <c r="G315" s="954"/>
      <c r="H315" s="954"/>
      <c r="I315" s="954"/>
      <c r="J315" s="954"/>
      <c r="K315" s="954"/>
      <c r="L315" s="954"/>
      <c r="M315" s="954"/>
      <c r="N315" s="223">
        <f>VLOOKUP(I127,Ср.мес.Т!A39:BP1348,G127)</f>
        <v>3.8</v>
      </c>
      <c r="O315" s="224"/>
      <c r="P315" s="163"/>
      <c r="Q315" s="163"/>
      <c r="R315" s="163"/>
      <c r="S315" s="163"/>
      <c r="T315" s="163"/>
      <c r="U315" s="163"/>
      <c r="V315" s="163"/>
      <c r="W315" s="163"/>
      <c r="X315" s="163"/>
      <c r="Y315" s="163"/>
      <c r="Z315" s="163"/>
      <c r="AA315" s="163"/>
      <c r="AB315" s="163"/>
      <c r="AC315" s="163"/>
      <c r="AD315" s="163"/>
      <c r="AE315" s="163"/>
      <c r="AF315" s="163"/>
      <c r="AG315" s="163"/>
      <c r="AH315" s="163"/>
      <c r="AI315" s="163"/>
      <c r="AJ315" s="163"/>
      <c r="AK315" s="207"/>
    </row>
    <row r="316" spans="1:37" ht="11.25" customHeight="1">
      <c r="A316" s="221"/>
      <c r="B316" s="221"/>
      <c r="C316" s="223"/>
      <c r="D316" s="223"/>
      <c r="E316" s="223"/>
      <c r="F316" s="229"/>
      <c r="G316" s="229"/>
      <c r="H316" s="229"/>
      <c r="I316" s="229"/>
      <c r="J316" s="229"/>
      <c r="K316" s="229"/>
      <c r="L316" s="229"/>
      <c r="M316" s="230"/>
      <c r="N316" s="223">
        <f>VLOOKUP(I128,Ср.мес.Т!A40:BP1349,G128)</f>
        <v>212</v>
      </c>
      <c r="O316" s="224"/>
      <c r="P316" s="163"/>
      <c r="Q316" s="163"/>
      <c r="R316" s="163"/>
      <c r="S316" s="163"/>
      <c r="T316" s="163"/>
      <c r="U316" s="163"/>
      <c r="V316" s="163"/>
      <c r="W316" s="163"/>
      <c r="X316" s="163"/>
      <c r="Y316" s="163"/>
      <c r="Z316" s="163"/>
      <c r="AA316" s="163"/>
      <c r="AB316" s="163"/>
      <c r="AC316" s="163"/>
      <c r="AD316" s="163"/>
      <c r="AE316" s="163"/>
      <c r="AF316" s="163"/>
      <c r="AG316" s="163"/>
      <c r="AH316" s="163"/>
      <c r="AI316" s="163"/>
      <c r="AJ316" s="163"/>
      <c r="AK316" s="207"/>
    </row>
    <row r="317" spans="1:37" ht="11.25" customHeight="1">
      <c r="A317" s="221"/>
      <c r="B317" s="221"/>
      <c r="C317" s="223"/>
      <c r="D317" s="223"/>
      <c r="E317" s="223"/>
      <c r="F317" s="229"/>
      <c r="G317" s="229"/>
      <c r="H317" s="229"/>
      <c r="I317" s="229"/>
      <c r="J317" s="229"/>
      <c r="K317" s="229"/>
      <c r="L317" s="229"/>
      <c r="M317" s="230"/>
      <c r="N317" s="223" t="str">
        <f>VLOOKUP(I129,Ср.мес.Т!A41:BP1350,G129)</f>
        <v xml:space="preserve">Москва                  </v>
      </c>
      <c r="O317" s="224"/>
      <c r="P317" s="163"/>
      <c r="Q317" s="163"/>
      <c r="R317" s="163"/>
      <c r="S317" s="163"/>
      <c r="T317" s="163"/>
      <c r="U317" s="163"/>
      <c r="V317" s="163"/>
      <c r="W317" s="163"/>
      <c r="X317" s="163"/>
      <c r="Y317" s="163"/>
      <c r="Z317" s="163"/>
      <c r="AA317" s="163"/>
      <c r="AB317" s="163"/>
      <c r="AC317" s="163"/>
      <c r="AD317" s="163"/>
      <c r="AE317" s="163"/>
      <c r="AF317" s="163"/>
      <c r="AG317" s="163"/>
      <c r="AH317" s="163"/>
      <c r="AI317" s="163"/>
      <c r="AJ317" s="163"/>
      <c r="AK317" s="207"/>
    </row>
    <row r="318" spans="1:37" ht="11.25" customHeight="1">
      <c r="A318" s="221"/>
      <c r="B318" s="221"/>
      <c r="C318" s="953" t="str">
        <f>Ср.мес.Т!AO1</f>
        <v>Таблица 2 - Климатические параметры теплого периода года</v>
      </c>
      <c r="D318" s="228"/>
      <c r="E318" s="228"/>
      <c r="F318" s="954" t="str">
        <f>Ср.мес.Т!AP2</f>
        <v xml:space="preserve">Барометрическое давление, гПа  </v>
      </c>
      <c r="G318" s="954"/>
      <c r="H318" s="954"/>
      <c r="I318" s="954"/>
      <c r="J318" s="954"/>
      <c r="K318" s="954"/>
      <c r="L318" s="951"/>
      <c r="M318" s="951"/>
      <c r="N318" s="223">
        <f>VLOOKUP(I130,Ср.мес.Т!A42:BP1351,G130)</f>
        <v>995</v>
      </c>
      <c r="O318" s="224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3"/>
      <c r="AH318" s="163"/>
      <c r="AI318" s="163"/>
      <c r="AJ318" s="163"/>
      <c r="AK318" s="207"/>
    </row>
    <row r="319" spans="1:37" ht="11.25" customHeight="1">
      <c r="A319" s="221"/>
      <c r="B319" s="221"/>
      <c r="C319" s="953"/>
      <c r="D319" s="228"/>
      <c r="E319" s="228"/>
      <c r="F319" s="950" t="str">
        <f>Ср.мес.Т!AQ2</f>
        <v xml:space="preserve">Темпера тура воздуха, °С, обеспеченностью  0,95  </v>
      </c>
      <c r="G319" s="950"/>
      <c r="H319" s="950"/>
      <c r="I319" s="950"/>
      <c r="J319" s="950"/>
      <c r="K319" s="950"/>
      <c r="L319" s="951"/>
      <c r="M319" s="951"/>
      <c r="N319" s="223">
        <f>VLOOKUP(I131,Ср.мес.Т!A43:BP1352,G131)</f>
        <v>22.6</v>
      </c>
      <c r="O319" s="224"/>
      <c r="P319" s="163"/>
      <c r="Q319" s="163"/>
      <c r="R319" s="163"/>
      <c r="S319" s="163"/>
      <c r="T319" s="163"/>
      <c r="U319" s="163"/>
      <c r="V319" s="163"/>
      <c r="W319" s="163"/>
      <c r="X319" s="163"/>
      <c r="Y319" s="163"/>
      <c r="Z319" s="163"/>
      <c r="AA319" s="163"/>
      <c r="AB319" s="163"/>
      <c r="AC319" s="163"/>
      <c r="AD319" s="163"/>
      <c r="AE319" s="163"/>
      <c r="AF319" s="163"/>
      <c r="AG319" s="163"/>
      <c r="AH319" s="163"/>
      <c r="AI319" s="163"/>
      <c r="AJ319" s="163"/>
      <c r="AK319" s="207"/>
    </row>
    <row r="320" spans="1:37" ht="11.25" customHeight="1">
      <c r="A320" s="221"/>
      <c r="B320" s="221"/>
      <c r="C320" s="953"/>
      <c r="D320" s="228"/>
      <c r="E320" s="228"/>
      <c r="F320" s="950" t="str">
        <f>Ср.мес.Т!AR2</f>
        <v xml:space="preserve">Темпера тура воздуха,  °С, обеспеченностью  0,99   </v>
      </c>
      <c r="G320" s="950"/>
      <c r="H320" s="950"/>
      <c r="I320" s="950"/>
      <c r="J320" s="950"/>
      <c r="K320" s="950"/>
      <c r="L320" s="951"/>
      <c r="M320" s="951"/>
      <c r="N320" s="223">
        <f>VLOOKUP(I132,Ср.мес.Т!A44:BP1353,G132)</f>
        <v>26.3</v>
      </c>
      <c r="O320" s="224"/>
      <c r="P320" s="163"/>
      <c r="Q320" s="163"/>
      <c r="R320" s="163"/>
      <c r="S320" s="163"/>
      <c r="T320" s="163"/>
      <c r="U320" s="163"/>
      <c r="V320" s="163"/>
      <c r="W320" s="163"/>
      <c r="X320" s="163"/>
      <c r="Y320" s="163"/>
      <c r="Z320" s="163"/>
      <c r="AA320" s="163"/>
      <c r="AB320" s="163"/>
      <c r="AC320" s="163"/>
      <c r="AD320" s="163"/>
      <c r="AE320" s="163"/>
      <c r="AF320" s="163"/>
      <c r="AG320" s="163"/>
      <c r="AH320" s="163"/>
      <c r="AI320" s="163"/>
      <c r="AJ320" s="163"/>
      <c r="AK320" s="207"/>
    </row>
    <row r="321" spans="1:37" ht="11.25" customHeight="1">
      <c r="A321" s="221"/>
      <c r="B321" s="221"/>
      <c r="C321" s="953"/>
      <c r="D321" s="228"/>
      <c r="E321" s="228"/>
      <c r="F321" s="950" t="str">
        <f>Ср.мес.Т!AS2</f>
        <v xml:space="preserve">Средняя максимальная температура воздуха наиболее теплого месяца,   °С    </v>
      </c>
      <c r="G321" s="950"/>
      <c r="H321" s="950"/>
      <c r="I321" s="950"/>
      <c r="J321" s="950"/>
      <c r="K321" s="950"/>
      <c r="L321" s="951"/>
      <c r="M321" s="951"/>
      <c r="N321" s="223">
        <f>VLOOKUP(I133,Ср.мес.Т!A45:BP1354,G133)</f>
        <v>23.6</v>
      </c>
      <c r="O321" s="224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  <c r="AA321" s="163"/>
      <c r="AB321" s="163"/>
      <c r="AC321" s="163"/>
      <c r="AD321" s="163"/>
      <c r="AE321" s="163"/>
      <c r="AF321" s="163"/>
      <c r="AG321" s="163"/>
      <c r="AH321" s="163"/>
      <c r="AI321" s="163"/>
      <c r="AJ321" s="163"/>
      <c r="AK321" s="207"/>
    </row>
    <row r="322" spans="1:37" ht="11.25" customHeight="1">
      <c r="A322" s="221"/>
      <c r="B322" s="221"/>
      <c r="C322" s="953"/>
      <c r="D322" s="228"/>
      <c r="E322" s="228"/>
      <c r="F322" s="950" t="str">
        <f>Ср.мес.Т!AT2</f>
        <v xml:space="preserve">Абсолютная максимальная температура воздуха,  °С    </v>
      </c>
      <c r="G322" s="950"/>
      <c r="H322" s="950"/>
      <c r="I322" s="950"/>
      <c r="J322" s="950"/>
      <c r="K322" s="950"/>
      <c r="L322" s="951"/>
      <c r="M322" s="951"/>
      <c r="N322" s="223">
        <f>VLOOKUP(I134,Ср.мес.Т!A46:BP1355,G134)</f>
        <v>37</v>
      </c>
      <c r="O322" s="224"/>
      <c r="P322" s="163"/>
      <c r="Q322" s="163"/>
      <c r="R322" s="163"/>
      <c r="S322" s="163"/>
      <c r="T322" s="163"/>
      <c r="U322" s="163"/>
      <c r="V322" s="163"/>
      <c r="W322" s="163"/>
      <c r="X322" s="163"/>
      <c r="Y322" s="163"/>
      <c r="Z322" s="163"/>
      <c r="AA322" s="163"/>
      <c r="AB322" s="163"/>
      <c r="AC322" s="163"/>
      <c r="AD322" s="163"/>
      <c r="AE322" s="163"/>
      <c r="AF322" s="163"/>
      <c r="AG322" s="163"/>
      <c r="AH322" s="163"/>
      <c r="AI322" s="163"/>
      <c r="AJ322" s="163"/>
      <c r="AK322" s="207"/>
    </row>
    <row r="323" spans="1:37" ht="11.25" customHeight="1">
      <c r="A323" s="221"/>
      <c r="B323" s="221"/>
      <c r="C323" s="953"/>
      <c r="D323" s="228"/>
      <c r="E323" s="228"/>
      <c r="F323" s="950" t="str">
        <f>Ср.мес.Т!AU2</f>
        <v xml:space="preserve">Средняя  суточная амплитуда температуры воздуха  наиболее теплого  месяца, °С </v>
      </c>
      <c r="G323" s="950"/>
      <c r="H323" s="950"/>
      <c r="I323" s="950"/>
      <c r="J323" s="950"/>
      <c r="K323" s="950"/>
      <c r="L323" s="951"/>
      <c r="M323" s="951"/>
      <c r="N323" s="223">
        <f>VLOOKUP(I135,Ср.мес.Т!A47:BP1356,G135)</f>
        <v>10.5</v>
      </c>
      <c r="O323" s="224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207"/>
    </row>
    <row r="324" spans="1:37" ht="11.25" customHeight="1">
      <c r="A324" s="221"/>
      <c r="B324" s="221"/>
      <c r="C324" s="953"/>
      <c r="D324" s="228"/>
      <c r="E324" s="228"/>
      <c r="F324" s="950" t="str">
        <f>Ср.мес.Т!AV2</f>
        <v xml:space="preserve">Средняя месячная относительная влажность воздуха наиболее теплого месяца,    %    </v>
      </c>
      <c r="G324" s="950"/>
      <c r="H324" s="950"/>
      <c r="I324" s="950"/>
      <c r="J324" s="950"/>
      <c r="K324" s="950"/>
      <c r="L324" s="951"/>
      <c r="M324" s="951"/>
      <c r="N324" s="223">
        <f>VLOOKUP(I136,Ср.мес.Т!A48:BP1357,G136)</f>
        <v>70</v>
      </c>
      <c r="O324" s="224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207"/>
    </row>
    <row r="325" spans="1:37" ht="11.25" customHeight="1">
      <c r="A325" s="221"/>
      <c r="B325" s="221"/>
      <c r="C325" s="953"/>
      <c r="D325" s="228"/>
      <c r="E325" s="228"/>
      <c r="F325" s="950" t="str">
        <f>Ср.мес.Т!AW2</f>
        <v>Средняя месячная относительная  влажность воздуха в 15 ч  наиболее  теплого месяца, %</v>
      </c>
      <c r="G325" s="950"/>
      <c r="H325" s="950"/>
      <c r="I325" s="950"/>
      <c r="J325" s="950"/>
      <c r="K325" s="950"/>
      <c r="L325" s="951"/>
      <c r="M325" s="951"/>
      <c r="N325" s="223">
        <f>VLOOKUP(I137,Ср.мес.Т!A49:BP1358,G137)</f>
        <v>56</v>
      </c>
      <c r="O325" s="224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207"/>
    </row>
    <row r="326" spans="1:37" ht="11.25" customHeight="1">
      <c r="A326" s="221"/>
      <c r="B326" s="221"/>
      <c r="C326" s="953"/>
      <c r="D326" s="228"/>
      <c r="E326" s="228"/>
      <c r="F326" s="950" t="str">
        <f>Ср.мес.Т!AX2</f>
        <v xml:space="preserve">Количество осадков за апрель октябрь,    мм    </v>
      </c>
      <c r="G326" s="950"/>
      <c r="H326" s="950"/>
      <c r="I326" s="950"/>
      <c r="J326" s="950"/>
      <c r="K326" s="950"/>
      <c r="L326" s="951"/>
      <c r="M326" s="951"/>
      <c r="N326" s="223">
        <f>VLOOKUP(I138,Ср.мес.Т!A50:BP1359,G138)</f>
        <v>443</v>
      </c>
      <c r="O326" s="224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207"/>
    </row>
    <row r="327" spans="1:37" ht="11.25" customHeight="1">
      <c r="A327" s="221"/>
      <c r="B327" s="221"/>
      <c r="C327" s="953"/>
      <c r="D327" s="228"/>
      <c r="E327" s="228"/>
      <c r="F327" s="950" t="str">
        <f>Ср.мес.Т!AY2</f>
        <v xml:space="preserve">Суточный максимум осадков,  мм  </v>
      </c>
      <c r="G327" s="950"/>
      <c r="H327" s="950"/>
      <c r="I327" s="950"/>
      <c r="J327" s="950"/>
      <c r="K327" s="950"/>
      <c r="L327" s="951"/>
      <c r="M327" s="951"/>
      <c r="N327" s="223">
        <f>VLOOKUP(I139,Ср.мес.Т!A51:BP1360,G139)</f>
        <v>61</v>
      </c>
      <c r="O327" s="224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207"/>
    </row>
    <row r="328" spans="1:37" ht="11.25" customHeight="1">
      <c r="A328" s="221"/>
      <c r="B328" s="221"/>
      <c r="C328" s="953"/>
      <c r="D328" s="228"/>
      <c r="E328" s="228"/>
      <c r="F328" s="950" t="str">
        <f>Ср.мес.Т!AZ2</f>
        <v>Преобладающее направление ветра за  июнь-август</v>
      </c>
      <c r="G328" s="950"/>
      <c r="H328" s="950"/>
      <c r="I328" s="950"/>
      <c r="J328" s="950"/>
      <c r="K328" s="950"/>
      <c r="L328" s="951"/>
      <c r="M328" s="951"/>
      <c r="N328" s="223" t="str">
        <f>VLOOKUP(I140,Ср.мес.Т!A52:BP1361,G140)</f>
        <v xml:space="preserve">  СЗ  </v>
      </c>
      <c r="O328" s="224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207"/>
    </row>
    <row r="329" spans="1:37" ht="11.25" customHeight="1">
      <c r="A329" s="221"/>
      <c r="B329" s="221"/>
      <c r="C329" s="953"/>
      <c r="D329" s="228"/>
      <c r="E329" s="228"/>
      <c r="F329" s="950" t="str">
        <f>Ср.мес.Т!BA2</f>
        <v xml:space="preserve">Минимальная из средних скоростей  ветра по  румбам за  июль, м/с </v>
      </c>
      <c r="G329" s="950"/>
      <c r="H329" s="950"/>
      <c r="I329" s="950"/>
      <c r="J329" s="950"/>
      <c r="K329" s="950"/>
      <c r="L329" s="951"/>
      <c r="M329" s="951"/>
      <c r="N329" s="223">
        <f>VLOOKUP(I141,Ср.мес.Т!A53:BP1362,G141)</f>
        <v>0</v>
      </c>
      <c r="O329" s="224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207"/>
    </row>
    <row r="330" spans="1:37" ht="11.25" customHeight="1">
      <c r="A330" s="221"/>
      <c r="B330" s="221"/>
      <c r="C330" s="231"/>
      <c r="D330" s="231"/>
      <c r="E330" s="231"/>
      <c r="F330" s="226"/>
      <c r="G330" s="226"/>
      <c r="H330" s="226"/>
      <c r="I330" s="226"/>
      <c r="J330" s="226"/>
      <c r="K330" s="226"/>
      <c r="L330" s="226"/>
      <c r="M330" s="227"/>
      <c r="N330" s="223">
        <f>VLOOKUP(I142,Ср.мес.Т!A54:BP1363,G142)</f>
        <v>187</v>
      </c>
      <c r="O330" s="224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207"/>
    </row>
    <row r="331" spans="1:37" ht="11.25" customHeight="1">
      <c r="A331" s="221"/>
      <c r="B331" s="221"/>
      <c r="C331" s="231"/>
      <c r="D331" s="231"/>
      <c r="E331" s="231"/>
      <c r="F331" s="226"/>
      <c r="G331" s="226"/>
      <c r="H331" s="226"/>
      <c r="I331" s="226"/>
      <c r="J331" s="226"/>
      <c r="K331" s="226"/>
      <c r="L331" s="226"/>
      <c r="M331" s="227"/>
      <c r="N331" s="223" t="str">
        <f>VLOOKUP(I143,Ср.мес.Т!A55:BP1364,G143)</f>
        <v>Москва</v>
      </c>
      <c r="O331" s="224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207"/>
    </row>
    <row r="332" spans="1:37" ht="11.25" customHeight="1">
      <c r="A332" s="221"/>
      <c r="B332" s="221"/>
      <c r="C332" s="295" t="str">
        <f>Ср.мес.Т!BC1</f>
        <v>Таблица 5а. Среднее месячное и годовое парциальное давление водяного пара, гПа</v>
      </c>
      <c r="D332" s="295"/>
      <c r="E332" s="295"/>
      <c r="F332" s="295"/>
      <c r="G332" s="222" t="str">
        <f>Ср.мес.Т!BD3</f>
        <v xml:space="preserve">  I  </v>
      </c>
      <c r="H332" s="223">
        <f>VLOOKUP(I144,Ср.мес.Т!A56:BP1365,G144)</f>
        <v>2.8</v>
      </c>
      <c r="I332" s="222" t="str">
        <f>Ср.мес.Т!BG3</f>
        <v xml:space="preserve"> IV  </v>
      </c>
      <c r="J332" s="223">
        <f>VLOOKUP(I147,Ср.мес.Т!A59:BP1368,G147)</f>
        <v>6.2</v>
      </c>
      <c r="K332" s="222" t="str">
        <f>Ср.мес.Т!BJ3</f>
        <v xml:space="preserve"> VII </v>
      </c>
      <c r="L332" s="223">
        <f>VLOOKUP(C69,Ср.мес.Т!A62:BP1371,A69)</f>
        <v>14.7</v>
      </c>
      <c r="M332" s="222" t="str">
        <f>Ср.мес.Т!BM3</f>
        <v xml:space="preserve">  X  </v>
      </c>
      <c r="N332" s="223">
        <f>VLOOKUP(C72,Ср.мес.Т!A65:BP1374,A72)</f>
        <v>7</v>
      </c>
      <c r="O332" s="224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207"/>
    </row>
    <row r="333" spans="1:37" ht="11.25" customHeight="1">
      <c r="A333" s="221"/>
      <c r="B333" s="221"/>
      <c r="C333" s="295"/>
      <c r="D333" s="295"/>
      <c r="E333" s="295"/>
      <c r="F333" s="295"/>
      <c r="G333" s="222" t="str">
        <f>Ср.мес.Т!BE3</f>
        <v xml:space="preserve"> II </v>
      </c>
      <c r="H333" s="223">
        <f>VLOOKUP(I145,Ср.мес.Т!A57:BP1366,G145)</f>
        <v>2.9</v>
      </c>
      <c r="I333" s="222" t="str">
        <f>Ср.мес.Т!BH3</f>
        <v xml:space="preserve"> V  </v>
      </c>
      <c r="J333" s="223">
        <f>VLOOKUP(C67,Ср.мес.Т!A60:BP1369,A67)</f>
        <v>9.1</v>
      </c>
      <c r="K333" s="222" t="str">
        <f>Ср.мес.Т!BK3</f>
        <v>VIII</v>
      </c>
      <c r="L333" s="223">
        <f>VLOOKUP(C70,Ср.мес.Т!A63:BP1372,A70)</f>
        <v>14</v>
      </c>
      <c r="M333" s="222" t="str">
        <f>Ср.мес.Т!BN3</f>
        <v xml:space="preserve"> XI </v>
      </c>
      <c r="N333" s="223">
        <f>VLOOKUP(C73,Ср.мес.Т!A66:BP1375,A73)</f>
        <v>5</v>
      </c>
      <c r="O333" s="224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207"/>
    </row>
    <row r="334" spans="1:37" ht="11.25" customHeight="1">
      <c r="A334" s="221"/>
      <c r="B334" s="221"/>
      <c r="C334" s="295"/>
      <c r="D334" s="295"/>
      <c r="E334" s="295"/>
      <c r="F334" s="295"/>
      <c r="G334" s="222" t="str">
        <f>Ср.мес.Т!BF3</f>
        <v xml:space="preserve"> III </v>
      </c>
      <c r="H334" s="223">
        <f>VLOOKUP(I146,Ср.мес.Т!A58:BP1367,G146)</f>
        <v>3.9</v>
      </c>
      <c r="I334" s="222" t="str">
        <f>Ср.мес.Т!BI3</f>
        <v xml:space="preserve"> VI  </v>
      </c>
      <c r="J334" s="223">
        <f>VLOOKUP(C68,Ср.мес.Т!A61:BP1370,A68)</f>
        <v>12.4</v>
      </c>
      <c r="K334" s="222" t="str">
        <f>Ср.мес.Т!BL3</f>
        <v xml:space="preserve"> IX  </v>
      </c>
      <c r="L334" s="223">
        <f>VLOOKUP(C71,Ср.мес.Т!A64:BP1373,A71)</f>
        <v>10.4</v>
      </c>
      <c r="M334" s="222" t="str">
        <f>Ср.мес.Т!BO3</f>
        <v xml:space="preserve"> ХII </v>
      </c>
      <c r="N334" s="223">
        <f>VLOOKUP(C74,Ср.мес.Т!A67:BP1376,A74)</f>
        <v>3.6</v>
      </c>
      <c r="O334" s="224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207"/>
    </row>
    <row r="335" spans="1:37" ht="11.25" customHeight="1">
      <c r="A335" s="221"/>
      <c r="B335" s="221"/>
      <c r="C335" s="295"/>
      <c r="D335" s="295"/>
      <c r="E335" s="295"/>
      <c r="F335" s="295"/>
      <c r="G335" s="952" t="str">
        <f>Ср.мес.Т!BP3</f>
        <v xml:space="preserve"> Год </v>
      </c>
      <c r="H335" s="952"/>
      <c r="I335" s="952"/>
      <c r="J335" s="952"/>
      <c r="K335" s="952"/>
      <c r="L335" s="952"/>
      <c r="M335" s="952"/>
      <c r="N335" s="224">
        <f>VLOOKUP(C75,Ср.мес.Т!A68:BP1377,A75)</f>
        <v>7.7</v>
      </c>
      <c r="O335" s="224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207"/>
    </row>
    <row r="336" spans="1:37" ht="11.25" customHeight="1">
      <c r="A336" s="221"/>
      <c r="B336" s="221"/>
      <c r="C336" s="295"/>
      <c r="D336" s="295"/>
      <c r="E336" s="295"/>
      <c r="F336" s="295"/>
      <c r="G336" s="225"/>
      <c r="H336" s="225"/>
      <c r="I336" s="225"/>
      <c r="J336" s="225"/>
      <c r="K336" s="225"/>
      <c r="L336" s="225"/>
      <c r="M336" s="226"/>
      <c r="N336" s="224"/>
      <c r="O336" s="224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207"/>
    </row>
    <row r="337" spans="1:37" ht="11.25" customHeight="1">
      <c r="A337" s="221"/>
      <c r="B337" s="221"/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212"/>
      <c r="P337" s="163"/>
      <c r="Q337" s="163"/>
      <c r="R337" s="163"/>
      <c r="S337" s="163"/>
      <c r="T337" s="163"/>
      <c r="U337" s="163"/>
      <c r="V337" s="163"/>
      <c r="W337" s="163"/>
      <c r="X337" s="163"/>
      <c r="Y337" s="163"/>
      <c r="Z337" s="163"/>
      <c r="AA337" s="163"/>
      <c r="AB337" s="163"/>
      <c r="AC337" s="163"/>
      <c r="AD337" s="163"/>
      <c r="AE337" s="163"/>
      <c r="AF337" s="163"/>
      <c r="AG337" s="163"/>
      <c r="AH337" s="163"/>
      <c r="AI337" s="163"/>
      <c r="AJ337" s="163"/>
      <c r="AK337" s="207"/>
    </row>
    <row r="338" spans="1:37" ht="11.25" customHeight="1">
      <c r="A338" s="221"/>
      <c r="B338" s="221"/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212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  <c r="AA338" s="163"/>
      <c r="AB338" s="163"/>
      <c r="AC338" s="163"/>
      <c r="AD338" s="163"/>
      <c r="AE338" s="163"/>
      <c r="AF338" s="163"/>
      <c r="AG338" s="163"/>
      <c r="AH338" s="163"/>
      <c r="AI338" s="163"/>
      <c r="AJ338" s="163"/>
      <c r="AK338" s="207"/>
    </row>
    <row r="339" spans="1:37" ht="11.25" customHeight="1">
      <c r="C339" s="163"/>
      <c r="D339" s="163"/>
      <c r="E339" s="163"/>
      <c r="F339" s="163"/>
      <c r="G339" s="163"/>
      <c r="H339" s="163"/>
      <c r="I339" s="163"/>
      <c r="J339" s="163"/>
      <c r="K339" s="163"/>
      <c r="L339" s="163"/>
      <c r="M339" s="163"/>
      <c r="N339" s="163"/>
      <c r="O339" s="212"/>
      <c r="P339" s="163"/>
      <c r="Q339" s="163"/>
      <c r="R339" s="163"/>
      <c r="S339" s="163"/>
      <c r="T339" s="163"/>
      <c r="U339" s="163"/>
      <c r="V339" s="163"/>
      <c r="W339" s="163"/>
      <c r="X339" s="163"/>
      <c r="Y339" s="163"/>
      <c r="Z339" s="163"/>
      <c r="AA339" s="163"/>
      <c r="AB339" s="163"/>
      <c r="AC339" s="163"/>
      <c r="AD339" s="163"/>
      <c r="AE339" s="163"/>
      <c r="AF339" s="163"/>
      <c r="AG339" s="163"/>
      <c r="AH339" s="163"/>
      <c r="AI339" s="163"/>
      <c r="AJ339" s="163"/>
      <c r="AK339" s="207"/>
    </row>
    <row r="340" spans="1:37" ht="11.25" customHeight="1"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212"/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3"/>
      <c r="AD340" s="163"/>
      <c r="AE340" s="163"/>
      <c r="AF340" s="163"/>
      <c r="AG340" s="163"/>
      <c r="AH340" s="163"/>
      <c r="AI340" s="163"/>
      <c r="AJ340" s="163"/>
      <c r="AK340" s="207"/>
    </row>
    <row r="341" spans="1:37" ht="11.25" customHeight="1">
      <c r="C341" s="163"/>
      <c r="D341" s="163"/>
      <c r="E341" s="163"/>
      <c r="F341" s="163"/>
      <c r="G341" s="163"/>
      <c r="H341" s="163"/>
      <c r="I341" s="163"/>
      <c r="J341" s="163"/>
      <c r="K341" s="163"/>
      <c r="L341" s="163"/>
      <c r="M341" s="163"/>
      <c r="N341" s="163"/>
      <c r="O341" s="212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  <c r="AB341" s="163"/>
      <c r="AC341" s="163"/>
      <c r="AD341" s="163"/>
      <c r="AE341" s="163"/>
      <c r="AF341" s="163"/>
      <c r="AG341" s="163"/>
      <c r="AH341" s="163"/>
      <c r="AI341" s="163"/>
      <c r="AJ341" s="163"/>
      <c r="AK341" s="207"/>
    </row>
    <row r="342" spans="1:37" ht="11.25" customHeight="1">
      <c r="C342" s="163"/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212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  <c r="AB342" s="163"/>
      <c r="AC342" s="163"/>
      <c r="AD342" s="163"/>
      <c r="AE342" s="163"/>
      <c r="AF342" s="163"/>
      <c r="AG342" s="163"/>
      <c r="AH342" s="163"/>
      <c r="AI342" s="163"/>
      <c r="AJ342" s="163"/>
      <c r="AK342" s="207"/>
    </row>
    <row r="343" spans="1:37" ht="11.25" customHeight="1">
      <c r="C343" s="163"/>
      <c r="D343" s="163"/>
      <c r="E343" s="163"/>
      <c r="F343" s="163"/>
      <c r="G343" s="163"/>
      <c r="H343" s="163"/>
      <c r="I343" s="163"/>
      <c r="J343" s="163"/>
      <c r="K343" s="163"/>
      <c r="L343" s="163"/>
      <c r="M343" s="163"/>
      <c r="N343" s="163"/>
      <c r="O343" s="212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  <c r="AB343" s="163"/>
      <c r="AC343" s="163"/>
      <c r="AD343" s="163"/>
      <c r="AE343" s="163"/>
      <c r="AF343" s="163"/>
      <c r="AG343" s="163"/>
      <c r="AH343" s="163"/>
      <c r="AI343" s="163"/>
      <c r="AJ343" s="163"/>
      <c r="AK343" s="207"/>
    </row>
    <row r="344" spans="1:37" ht="11.25" customHeight="1">
      <c r="C344" s="163"/>
      <c r="D344" s="163"/>
      <c r="E344" s="163"/>
      <c r="F344" s="163"/>
      <c r="G344" s="163"/>
      <c r="H344" s="163"/>
      <c r="I344" s="163"/>
      <c r="J344" s="163"/>
      <c r="K344" s="163"/>
      <c r="L344" s="163"/>
      <c r="M344" s="163"/>
      <c r="N344" s="163"/>
      <c r="O344" s="212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  <c r="AB344" s="163"/>
      <c r="AC344" s="163"/>
      <c r="AD344" s="163"/>
      <c r="AE344" s="163"/>
      <c r="AF344" s="163"/>
      <c r="AG344" s="163"/>
      <c r="AH344" s="163"/>
      <c r="AI344" s="163"/>
      <c r="AJ344" s="163"/>
      <c r="AK344" s="207"/>
    </row>
    <row r="345" spans="1:37" ht="11.25" customHeight="1">
      <c r="C345" s="221"/>
      <c r="D345" s="163"/>
      <c r="E345" s="163"/>
      <c r="F345" s="163"/>
      <c r="G345" s="163"/>
      <c r="H345" s="163"/>
      <c r="I345" s="163"/>
      <c r="J345" s="163"/>
      <c r="K345" s="163"/>
      <c r="L345" s="163"/>
      <c r="M345" s="163"/>
      <c r="N345" s="163"/>
      <c r="O345" s="212"/>
      <c r="P345" s="163"/>
      <c r="Q345" s="163"/>
      <c r="R345" s="163"/>
      <c r="S345" s="163"/>
      <c r="T345" s="163"/>
      <c r="U345" s="163"/>
      <c r="V345" s="163"/>
      <c r="W345" s="163"/>
      <c r="X345" s="163"/>
      <c r="Y345" s="163"/>
      <c r="Z345" s="163"/>
      <c r="AA345" s="163"/>
      <c r="AB345" s="163"/>
      <c r="AC345" s="163"/>
      <c r="AD345" s="163"/>
      <c r="AE345" s="163"/>
      <c r="AF345" s="163"/>
      <c r="AG345" s="163"/>
      <c r="AH345" s="163"/>
      <c r="AI345" s="163"/>
      <c r="AJ345" s="163"/>
    </row>
    <row r="346" spans="1:37" ht="11.25" customHeight="1">
      <c r="C346" s="221"/>
      <c r="D346" s="163"/>
      <c r="E346" s="163"/>
      <c r="F346" s="163"/>
      <c r="G346" s="163"/>
      <c r="H346" s="163"/>
      <c r="I346" s="163"/>
      <c r="J346" s="163"/>
      <c r="K346" s="163"/>
      <c r="L346" s="163"/>
      <c r="M346" s="163"/>
      <c r="N346" s="163"/>
      <c r="O346" s="212"/>
      <c r="P346" s="163"/>
      <c r="Q346" s="163"/>
      <c r="R346" s="163"/>
      <c r="S346" s="163"/>
      <c r="T346" s="163"/>
      <c r="U346" s="163"/>
      <c r="V346" s="163"/>
      <c r="W346" s="163"/>
      <c r="X346" s="163"/>
      <c r="Y346" s="163"/>
      <c r="Z346" s="163"/>
      <c r="AA346" s="163"/>
      <c r="AB346" s="163"/>
      <c r="AC346" s="163"/>
      <c r="AD346" s="163"/>
      <c r="AE346" s="163"/>
      <c r="AF346" s="163"/>
      <c r="AG346" s="163"/>
      <c r="AH346" s="163"/>
      <c r="AI346" s="163"/>
      <c r="AJ346" s="163"/>
    </row>
    <row r="347" spans="1:37" ht="11.25" customHeight="1">
      <c r="C347" s="221"/>
      <c r="D347" s="163"/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212"/>
      <c r="P347" s="163"/>
      <c r="Q347" s="163"/>
      <c r="R347" s="163"/>
      <c r="S347" s="163"/>
      <c r="T347" s="163"/>
      <c r="U347" s="163"/>
      <c r="V347" s="163"/>
      <c r="W347" s="163"/>
      <c r="X347" s="163"/>
      <c r="Y347" s="163"/>
      <c r="Z347" s="163"/>
      <c r="AA347" s="163"/>
      <c r="AB347" s="163"/>
      <c r="AC347" s="163"/>
      <c r="AD347" s="163"/>
      <c r="AE347" s="163"/>
      <c r="AF347" s="163"/>
      <c r="AG347" s="163"/>
      <c r="AH347" s="163"/>
      <c r="AI347" s="163"/>
      <c r="AJ347" s="163"/>
    </row>
    <row r="348" spans="1:37" ht="11.25" customHeight="1">
      <c r="D348" s="163"/>
      <c r="E348" s="163"/>
      <c r="F348" s="163"/>
      <c r="G348" s="163"/>
      <c r="H348" s="163"/>
      <c r="I348" s="163"/>
    </row>
    <row r="349" spans="1:37" ht="11.25" customHeight="1">
      <c r="D349" s="163"/>
      <c r="E349" s="163"/>
      <c r="F349" s="163"/>
      <c r="G349" s="163"/>
      <c r="H349" s="163"/>
      <c r="I349" s="163"/>
    </row>
    <row r="350" spans="1:37" ht="11.25" customHeight="1">
      <c r="D350" s="163"/>
      <c r="E350" s="163"/>
      <c r="F350" s="163"/>
      <c r="G350" s="163"/>
      <c r="H350" s="163"/>
      <c r="I350" s="163"/>
    </row>
    <row r="351" spans="1:37" ht="11.25" customHeight="1">
      <c r="D351" s="163"/>
      <c r="E351" s="163"/>
      <c r="F351" s="163"/>
      <c r="G351" s="163"/>
      <c r="H351" s="163"/>
      <c r="I351" s="163"/>
    </row>
    <row r="352" spans="1:37" ht="11.25" customHeight="1">
      <c r="D352" s="163"/>
      <c r="E352" s="163"/>
      <c r="F352" s="163"/>
      <c r="G352" s="163"/>
      <c r="H352" s="163"/>
      <c r="I352" s="163"/>
    </row>
    <row r="353" spans="4:9" ht="11.25" customHeight="1">
      <c r="D353" s="163"/>
      <c r="E353" s="163"/>
      <c r="F353" s="163"/>
      <c r="G353" s="163"/>
      <c r="H353" s="163"/>
      <c r="I353" s="163"/>
    </row>
    <row r="354" spans="4:9" ht="11.25" customHeight="1">
      <c r="D354" s="163"/>
      <c r="E354" s="163"/>
      <c r="F354" s="163"/>
      <c r="G354" s="163"/>
      <c r="H354" s="163"/>
      <c r="I354" s="163"/>
    </row>
    <row r="355" spans="4:9" ht="11.25" customHeight="1">
      <c r="D355" s="163"/>
      <c r="E355" s="163"/>
      <c r="F355" s="163"/>
      <c r="G355" s="163"/>
      <c r="H355" s="163"/>
      <c r="I355" s="163"/>
    </row>
    <row r="356" spans="4:9" ht="11.25" customHeight="1">
      <c r="D356" s="163"/>
      <c r="E356" s="163"/>
      <c r="F356" s="163"/>
      <c r="G356" s="163"/>
      <c r="H356" s="163"/>
      <c r="I356" s="163"/>
    </row>
    <row r="357" spans="4:9" ht="11.25" customHeight="1">
      <c r="D357" s="163"/>
      <c r="E357" s="163"/>
      <c r="F357" s="163"/>
      <c r="G357" s="163"/>
      <c r="H357" s="163"/>
      <c r="I357" s="163"/>
    </row>
    <row r="358" spans="4:9" ht="11.25" customHeight="1">
      <c r="D358" s="163"/>
      <c r="E358" s="163"/>
      <c r="F358" s="163"/>
      <c r="G358" s="163"/>
      <c r="H358" s="163"/>
      <c r="I358" s="163"/>
    </row>
    <row r="359" spans="4:9" ht="11.25" customHeight="1">
      <c r="D359" s="163"/>
      <c r="E359" s="163"/>
      <c r="F359" s="163"/>
      <c r="G359" s="163"/>
      <c r="H359" s="163"/>
      <c r="I359" s="163"/>
    </row>
    <row r="360" spans="4:9" ht="11.25" customHeight="1">
      <c r="D360" s="163"/>
      <c r="E360" s="163"/>
      <c r="F360" s="163"/>
      <c r="G360" s="163"/>
      <c r="H360" s="163"/>
      <c r="I360" s="163"/>
    </row>
    <row r="361" spans="4:9" ht="11.25" customHeight="1">
      <c r="D361" s="163"/>
      <c r="E361" s="163"/>
      <c r="F361" s="163"/>
      <c r="G361" s="163"/>
      <c r="H361" s="163"/>
      <c r="I361" s="163"/>
    </row>
    <row r="362" spans="4:9" ht="11.25" customHeight="1">
      <c r="D362" s="163"/>
      <c r="E362" s="163"/>
      <c r="F362" s="163"/>
      <c r="G362" s="163"/>
      <c r="H362" s="163"/>
      <c r="I362" s="163"/>
    </row>
    <row r="363" spans="4:9" ht="11.25" customHeight="1">
      <c r="D363" s="163"/>
      <c r="E363" s="163"/>
      <c r="F363" s="163"/>
      <c r="G363" s="163"/>
      <c r="H363" s="163"/>
      <c r="I363" s="163"/>
    </row>
    <row r="364" spans="4:9" ht="11.25" customHeight="1">
      <c r="D364" s="163"/>
      <c r="E364" s="163"/>
      <c r="F364" s="163"/>
      <c r="G364" s="163"/>
      <c r="H364" s="163"/>
      <c r="I364" s="163"/>
    </row>
    <row r="365" spans="4:9" ht="11.25" customHeight="1">
      <c r="D365" s="163"/>
      <c r="E365" s="163"/>
      <c r="F365" s="163"/>
      <c r="G365" s="163"/>
      <c r="H365" s="163"/>
      <c r="I365" s="163"/>
    </row>
    <row r="366" spans="4:9" ht="11.25" customHeight="1">
      <c r="D366" s="163"/>
      <c r="E366" s="163"/>
      <c r="F366" s="163"/>
      <c r="G366" s="163"/>
      <c r="H366" s="163"/>
      <c r="I366" s="163"/>
    </row>
    <row r="367" spans="4:9" ht="11.25" customHeight="1">
      <c r="D367" s="163"/>
      <c r="E367" s="163"/>
      <c r="F367" s="163"/>
      <c r="G367" s="163"/>
      <c r="H367" s="163"/>
      <c r="I367" s="163"/>
    </row>
    <row r="368" spans="4:9" ht="11.25" customHeight="1">
      <c r="D368" s="163"/>
      <c r="E368" s="163"/>
      <c r="F368" s="163"/>
      <c r="G368" s="163"/>
      <c r="H368" s="163"/>
      <c r="I368" s="163"/>
    </row>
    <row r="369" spans="4:9" ht="11.25" customHeight="1">
      <c r="D369" s="163"/>
      <c r="E369" s="163"/>
      <c r="F369" s="163"/>
      <c r="G369" s="163"/>
      <c r="H369" s="163"/>
      <c r="I369" s="163"/>
    </row>
    <row r="370" spans="4:9" ht="11.25" customHeight="1">
      <c r="D370" s="163"/>
      <c r="E370" s="163"/>
      <c r="F370" s="163"/>
      <c r="G370" s="163"/>
      <c r="H370" s="163"/>
      <c r="I370" s="163"/>
    </row>
    <row r="371" spans="4:9" ht="11.25" customHeight="1">
      <c r="D371" s="163"/>
      <c r="E371" s="163"/>
      <c r="F371" s="163"/>
      <c r="G371" s="163"/>
      <c r="H371" s="163"/>
      <c r="I371" s="163"/>
    </row>
    <row r="372" spans="4:9" ht="11.25" customHeight="1">
      <c r="D372" s="163"/>
      <c r="E372" s="163"/>
      <c r="F372" s="163"/>
      <c r="G372" s="163"/>
      <c r="H372" s="163"/>
      <c r="I372" s="163"/>
    </row>
    <row r="373" spans="4:9" ht="11.25" customHeight="1">
      <c r="D373" s="163"/>
      <c r="E373" s="163"/>
      <c r="F373" s="163"/>
      <c r="G373" s="163"/>
      <c r="H373" s="163"/>
      <c r="I373" s="163"/>
    </row>
    <row r="374" spans="4:9" ht="11.25" customHeight="1">
      <c r="D374" s="163"/>
      <c r="E374" s="163"/>
      <c r="F374" s="163"/>
      <c r="G374" s="163"/>
      <c r="H374" s="163"/>
      <c r="I374" s="163"/>
    </row>
    <row r="375" spans="4:9" ht="11.25" customHeight="1">
      <c r="D375" s="163"/>
      <c r="E375" s="163"/>
      <c r="F375" s="163"/>
      <c r="G375" s="163"/>
      <c r="H375" s="163"/>
      <c r="I375" s="163"/>
    </row>
    <row r="376" spans="4:9" ht="11.25" customHeight="1">
      <c r="D376" s="163"/>
      <c r="E376" s="163"/>
      <c r="F376" s="163"/>
      <c r="G376" s="163"/>
      <c r="H376" s="163"/>
      <c r="I376" s="163"/>
    </row>
    <row r="377" spans="4:9" ht="11.25" customHeight="1">
      <c r="D377" s="163"/>
      <c r="E377" s="163"/>
      <c r="F377" s="163"/>
      <c r="G377" s="163"/>
      <c r="H377" s="163"/>
      <c r="I377" s="163"/>
    </row>
    <row r="378" spans="4:9" ht="11.25" customHeight="1">
      <c r="D378" s="163"/>
      <c r="E378" s="163"/>
      <c r="F378" s="163"/>
      <c r="G378" s="163"/>
      <c r="H378" s="163"/>
      <c r="I378" s="163"/>
    </row>
    <row r="379" spans="4:9" ht="11.25" customHeight="1">
      <c r="D379" s="163"/>
      <c r="E379" s="163"/>
      <c r="F379" s="163"/>
      <c r="G379" s="163"/>
      <c r="H379" s="163"/>
      <c r="I379" s="163"/>
    </row>
    <row r="380" spans="4:9" ht="11.25" customHeight="1">
      <c r="D380" s="163"/>
      <c r="E380" s="163"/>
      <c r="F380" s="163"/>
      <c r="G380" s="163"/>
      <c r="H380" s="163"/>
    </row>
    <row r="381" spans="4:9" ht="11.25" customHeight="1">
      <c r="D381" s="163"/>
      <c r="E381" s="163"/>
      <c r="F381" s="163"/>
      <c r="G381" s="163"/>
      <c r="H381" s="163"/>
    </row>
    <row r="382" spans="4:9" ht="11.25" customHeight="1">
      <c r="D382" s="163"/>
      <c r="E382" s="163"/>
      <c r="F382" s="163"/>
      <c r="G382" s="163"/>
      <c r="H382" s="163"/>
    </row>
    <row r="383" spans="4:9" ht="11.25" customHeight="1">
      <c r="D383" s="163"/>
      <c r="E383" s="163"/>
      <c r="F383" s="163"/>
      <c r="G383" s="163"/>
      <c r="H383" s="163"/>
    </row>
    <row r="384" spans="4:9" ht="11.25" customHeight="1">
      <c r="D384" s="163"/>
      <c r="E384" s="163"/>
      <c r="F384" s="163"/>
      <c r="G384" s="163"/>
      <c r="H384" s="163"/>
    </row>
    <row r="385" spans="4:8" ht="11.25" customHeight="1">
      <c r="D385" s="163"/>
      <c r="E385" s="163"/>
      <c r="F385" s="163"/>
      <c r="G385" s="163"/>
      <c r="H385" s="163"/>
    </row>
    <row r="386" spans="4:8" ht="11.25" customHeight="1">
      <c r="D386" s="163"/>
      <c r="E386" s="163"/>
      <c r="F386" s="163"/>
      <c r="G386" s="163"/>
      <c r="H386" s="163"/>
    </row>
    <row r="387" spans="4:8" ht="11.25" customHeight="1">
      <c r="D387" s="163"/>
      <c r="E387" s="163"/>
      <c r="F387" s="163"/>
      <c r="G387" s="163"/>
      <c r="H387" s="163"/>
    </row>
    <row r="388" spans="4:8" ht="11.25" customHeight="1">
      <c r="D388" s="163"/>
      <c r="E388" s="163"/>
      <c r="F388" s="163"/>
      <c r="G388" s="163"/>
      <c r="H388" s="163"/>
    </row>
    <row r="389" spans="4:8" ht="11.25" customHeight="1">
      <c r="D389" s="163"/>
      <c r="E389" s="163"/>
      <c r="F389" s="163"/>
      <c r="G389" s="163"/>
      <c r="H389" s="163"/>
    </row>
    <row r="390" spans="4:8" ht="11.25" customHeight="1">
      <c r="D390" s="163"/>
      <c r="E390" s="163"/>
      <c r="F390" s="163"/>
      <c r="G390" s="163"/>
      <c r="H390" s="163"/>
    </row>
    <row r="391" spans="4:8" ht="11.25" customHeight="1">
      <c r="D391" s="163"/>
      <c r="E391" s="163"/>
      <c r="F391" s="163"/>
      <c r="G391" s="163"/>
      <c r="H391" s="163"/>
    </row>
    <row r="392" spans="4:8" ht="11.25" customHeight="1">
      <c r="D392" s="163"/>
      <c r="E392" s="163"/>
      <c r="F392" s="163"/>
      <c r="G392" s="163"/>
      <c r="H392" s="163"/>
    </row>
    <row r="393" spans="4:8" ht="11.25" customHeight="1">
      <c r="D393" s="163"/>
      <c r="E393" s="163"/>
      <c r="F393" s="163"/>
      <c r="G393" s="163"/>
      <c r="H393" s="163"/>
    </row>
    <row r="394" spans="4:8" ht="11.25" customHeight="1">
      <c r="D394" s="163"/>
      <c r="E394" s="163"/>
      <c r="F394" s="163"/>
      <c r="G394" s="163"/>
      <c r="H394" s="163"/>
    </row>
    <row r="395" spans="4:8" ht="11.25" customHeight="1">
      <c r="D395" s="163"/>
      <c r="E395" s="163"/>
      <c r="F395" s="163"/>
      <c r="G395" s="163"/>
      <c r="H395" s="163"/>
    </row>
    <row r="396" spans="4:8" ht="11.25" customHeight="1">
      <c r="D396" s="163"/>
      <c r="E396" s="163"/>
      <c r="F396" s="163"/>
      <c r="G396" s="163"/>
      <c r="H396" s="163"/>
    </row>
    <row r="397" spans="4:8" ht="11.25" customHeight="1">
      <c r="D397" s="163"/>
      <c r="E397" s="163"/>
      <c r="F397" s="163"/>
      <c r="G397" s="163"/>
      <c r="H397" s="163"/>
    </row>
    <row r="398" spans="4:8" ht="11.25" customHeight="1">
      <c r="D398" s="163"/>
      <c r="E398" s="163"/>
      <c r="F398" s="163"/>
      <c r="G398" s="163"/>
      <c r="H398" s="163"/>
    </row>
    <row r="399" spans="4:8" ht="11.25" customHeight="1">
      <c r="D399" s="163"/>
      <c r="E399" s="163"/>
      <c r="F399" s="163"/>
      <c r="G399" s="163"/>
      <c r="H399" s="163"/>
    </row>
    <row r="400" spans="4:8" ht="11.25" customHeight="1">
      <c r="D400" s="163"/>
      <c r="E400" s="163"/>
      <c r="F400" s="163"/>
      <c r="G400" s="163"/>
      <c r="H400" s="163"/>
    </row>
    <row r="401" spans="4:8" ht="11.25" customHeight="1">
      <c r="D401" s="163"/>
      <c r="E401" s="163"/>
      <c r="F401" s="163"/>
      <c r="G401" s="163"/>
      <c r="H401" s="163"/>
    </row>
    <row r="402" spans="4:8" ht="11.25" customHeight="1">
      <c r="D402" s="163"/>
      <c r="E402" s="163"/>
      <c r="F402" s="163"/>
      <c r="G402" s="163"/>
      <c r="H402" s="163"/>
    </row>
    <row r="403" spans="4:8" ht="11.25" customHeight="1">
      <c r="D403" s="163"/>
      <c r="E403" s="163"/>
      <c r="F403" s="163"/>
      <c r="G403" s="163"/>
      <c r="H403" s="163"/>
    </row>
    <row r="404" spans="4:8" ht="11.25" customHeight="1">
      <c r="D404" s="163"/>
      <c r="E404" s="163"/>
      <c r="F404" s="163"/>
      <c r="G404" s="163"/>
      <c r="H404" s="163"/>
    </row>
    <row r="405" spans="4:8" ht="11.25" customHeight="1">
      <c r="D405" s="163"/>
      <c r="E405" s="163"/>
      <c r="F405" s="163"/>
      <c r="G405" s="163"/>
      <c r="H405" s="163"/>
    </row>
    <row r="406" spans="4:8" ht="11.25" customHeight="1">
      <c r="D406" s="163"/>
      <c r="E406" s="163"/>
      <c r="F406" s="163"/>
      <c r="G406" s="163"/>
      <c r="H406" s="163"/>
    </row>
    <row r="407" spans="4:8" ht="11.25" customHeight="1">
      <c r="D407" s="163"/>
      <c r="E407" s="163"/>
      <c r="F407" s="163"/>
      <c r="G407" s="163"/>
      <c r="H407" s="163"/>
    </row>
    <row r="408" spans="4:8" ht="11.25" customHeight="1">
      <c r="D408" s="163"/>
      <c r="E408" s="163"/>
      <c r="F408" s="163"/>
      <c r="G408" s="163"/>
      <c r="H408" s="163"/>
    </row>
    <row r="409" spans="4:8" ht="11.25" customHeight="1">
      <c r="D409" s="163"/>
      <c r="E409" s="163"/>
      <c r="F409" s="163"/>
      <c r="G409" s="163"/>
      <c r="H409" s="163"/>
    </row>
    <row r="410" spans="4:8" ht="11.25" customHeight="1">
      <c r="D410" s="163"/>
      <c r="E410" s="163"/>
      <c r="F410" s="163"/>
      <c r="G410" s="163"/>
      <c r="H410" s="163"/>
    </row>
    <row r="411" spans="4:8" ht="11.25" customHeight="1">
      <c r="D411" s="163"/>
      <c r="E411" s="163"/>
      <c r="F411" s="163"/>
      <c r="G411" s="163"/>
      <c r="H411" s="163"/>
    </row>
    <row r="412" spans="4:8" ht="11.25" customHeight="1">
      <c r="D412" s="163"/>
      <c r="E412" s="163"/>
      <c r="F412" s="163"/>
      <c r="G412" s="163"/>
      <c r="H412" s="163"/>
    </row>
    <row r="413" spans="4:8" ht="11.25" customHeight="1">
      <c r="D413" s="163"/>
      <c r="E413" s="163"/>
      <c r="F413" s="163"/>
      <c r="G413" s="163"/>
      <c r="H413" s="163"/>
    </row>
    <row r="414" spans="4:8" ht="11.25" customHeight="1">
      <c r="D414" s="163"/>
      <c r="E414" s="163"/>
      <c r="F414" s="163"/>
      <c r="G414" s="163"/>
      <c r="H414" s="163"/>
    </row>
    <row r="415" spans="4:8" ht="11.25" customHeight="1">
      <c r="D415" s="163"/>
      <c r="E415" s="163"/>
      <c r="F415" s="163"/>
      <c r="G415" s="163"/>
      <c r="H415" s="163"/>
    </row>
    <row r="416" spans="4:8" ht="11.25" customHeight="1">
      <c r="D416" s="163"/>
      <c r="E416" s="163"/>
      <c r="F416" s="163"/>
      <c r="G416" s="163"/>
      <c r="H416" s="163"/>
    </row>
    <row r="417" spans="4:8" ht="11.25" customHeight="1">
      <c r="D417" s="163"/>
      <c r="E417" s="163"/>
      <c r="F417" s="163"/>
      <c r="G417" s="163"/>
      <c r="H417" s="163"/>
    </row>
    <row r="418" spans="4:8" ht="11.25" customHeight="1">
      <c r="D418" s="163"/>
      <c r="E418" s="163"/>
      <c r="F418" s="163"/>
      <c r="G418" s="163"/>
      <c r="H418" s="163"/>
    </row>
    <row r="419" spans="4:8" ht="11.25" customHeight="1">
      <c r="D419" s="163"/>
      <c r="E419" s="163"/>
      <c r="F419" s="163"/>
      <c r="G419" s="163"/>
      <c r="H419" s="163"/>
    </row>
    <row r="420" spans="4:8" ht="11.25" customHeight="1">
      <c r="D420" s="163"/>
      <c r="E420" s="163"/>
      <c r="F420" s="163"/>
      <c r="G420" s="163"/>
      <c r="H420" s="163"/>
    </row>
    <row r="421" spans="4:8" ht="11.25" customHeight="1">
      <c r="D421" s="163"/>
      <c r="E421" s="163"/>
      <c r="F421" s="163"/>
      <c r="G421" s="163"/>
      <c r="H421" s="163"/>
    </row>
    <row r="422" spans="4:8" ht="11.25" customHeight="1">
      <c r="D422" s="163"/>
      <c r="E422" s="163"/>
      <c r="F422" s="163"/>
      <c r="G422" s="163"/>
      <c r="H422" s="163"/>
    </row>
    <row r="423" spans="4:8" ht="11.25" customHeight="1">
      <c r="D423" s="163"/>
      <c r="E423" s="163"/>
      <c r="F423" s="163"/>
      <c r="G423" s="163"/>
      <c r="H423" s="163"/>
    </row>
    <row r="424" spans="4:8" ht="11.25" customHeight="1">
      <c r="D424" s="163"/>
      <c r="E424" s="163"/>
      <c r="F424" s="163"/>
      <c r="G424" s="163"/>
      <c r="H424" s="163"/>
    </row>
    <row r="425" spans="4:8" ht="11.25" customHeight="1">
      <c r="D425" s="163"/>
      <c r="E425" s="163"/>
      <c r="F425" s="163"/>
      <c r="G425" s="163"/>
      <c r="H425" s="163"/>
    </row>
    <row r="426" spans="4:8" ht="11.25" customHeight="1">
      <c r="D426" s="163"/>
      <c r="E426" s="163"/>
      <c r="F426" s="163"/>
      <c r="G426" s="163"/>
      <c r="H426" s="163"/>
    </row>
    <row r="427" spans="4:8" ht="11.25" customHeight="1">
      <c r="D427" s="163"/>
      <c r="E427" s="163"/>
      <c r="F427" s="163"/>
      <c r="G427" s="163"/>
      <c r="H427" s="163"/>
    </row>
    <row r="428" spans="4:8" ht="11.25" customHeight="1">
      <c r="D428" s="163"/>
      <c r="E428" s="163"/>
      <c r="F428" s="163"/>
      <c r="G428" s="163"/>
      <c r="H428" s="163"/>
    </row>
    <row r="429" spans="4:8" ht="11.25" customHeight="1">
      <c r="D429" s="163"/>
      <c r="E429" s="163"/>
      <c r="F429" s="163"/>
      <c r="G429" s="163"/>
      <c r="H429" s="163"/>
    </row>
    <row r="430" spans="4:8" ht="11.25" customHeight="1">
      <c r="D430" s="163"/>
      <c r="E430" s="163"/>
      <c r="F430" s="163"/>
      <c r="G430" s="163"/>
      <c r="H430" s="163"/>
    </row>
    <row r="431" spans="4:8" ht="11.25" customHeight="1">
      <c r="D431" s="163"/>
      <c r="E431" s="163"/>
      <c r="F431" s="163"/>
      <c r="G431" s="163"/>
      <c r="H431" s="163"/>
    </row>
    <row r="432" spans="4:8" ht="11.25" customHeight="1">
      <c r="D432" s="163"/>
      <c r="E432" s="163"/>
      <c r="F432" s="163"/>
      <c r="G432" s="163"/>
      <c r="H432" s="163"/>
    </row>
    <row r="433" spans="4:8" ht="11.25" customHeight="1">
      <c r="D433" s="163"/>
      <c r="E433" s="163"/>
      <c r="F433" s="163"/>
      <c r="G433" s="163"/>
      <c r="H433" s="163"/>
    </row>
    <row r="434" spans="4:8" ht="11.25" customHeight="1">
      <c r="D434" s="163"/>
      <c r="E434" s="163"/>
      <c r="F434" s="163"/>
      <c r="G434" s="163"/>
      <c r="H434" s="163"/>
    </row>
    <row r="435" spans="4:8" ht="11.25" customHeight="1">
      <c r="D435" s="163"/>
      <c r="E435" s="163"/>
      <c r="F435" s="163"/>
      <c r="G435" s="163"/>
      <c r="H435" s="163"/>
    </row>
    <row r="436" spans="4:8" ht="11.25" customHeight="1">
      <c r="D436" s="163"/>
      <c r="E436" s="163"/>
      <c r="F436" s="163"/>
      <c r="G436" s="163"/>
      <c r="H436" s="163"/>
    </row>
    <row r="437" spans="4:8" ht="11.25" customHeight="1">
      <c r="D437" s="163"/>
      <c r="E437" s="163"/>
      <c r="F437" s="163"/>
      <c r="G437" s="163"/>
      <c r="H437" s="163"/>
    </row>
    <row r="438" spans="4:8" ht="11.25" customHeight="1">
      <c r="D438" s="163"/>
      <c r="E438" s="163"/>
      <c r="F438" s="163"/>
      <c r="G438" s="163"/>
      <c r="H438" s="163"/>
    </row>
    <row r="439" spans="4:8" ht="11.25" customHeight="1">
      <c r="D439" s="163"/>
      <c r="E439" s="163"/>
      <c r="F439" s="163"/>
      <c r="G439" s="163"/>
      <c r="H439" s="163"/>
    </row>
    <row r="440" spans="4:8" ht="11.25" customHeight="1">
      <c r="D440" s="163"/>
      <c r="E440" s="163"/>
      <c r="F440" s="163"/>
      <c r="G440" s="163"/>
      <c r="H440" s="163"/>
    </row>
    <row r="441" spans="4:8" ht="11.25" customHeight="1">
      <c r="D441" s="163"/>
      <c r="E441" s="163"/>
      <c r="F441" s="163"/>
      <c r="G441" s="163"/>
      <c r="H441" s="163"/>
    </row>
    <row r="442" spans="4:8" ht="11.25" customHeight="1">
      <c r="D442" s="163"/>
      <c r="E442" s="163"/>
      <c r="F442" s="163"/>
      <c r="G442" s="163"/>
      <c r="H442" s="163"/>
    </row>
    <row r="443" spans="4:8" ht="11.25" customHeight="1">
      <c r="D443" s="163"/>
      <c r="E443" s="163"/>
      <c r="F443" s="163"/>
      <c r="G443" s="163"/>
      <c r="H443" s="163"/>
    </row>
    <row r="444" spans="4:8" ht="11.25" customHeight="1">
      <c r="D444" s="163"/>
      <c r="E444" s="163"/>
      <c r="F444" s="163"/>
      <c r="G444" s="163"/>
      <c r="H444" s="163"/>
    </row>
    <row r="445" spans="4:8" ht="11.25" customHeight="1">
      <c r="D445" s="163"/>
      <c r="E445" s="163"/>
      <c r="F445" s="163"/>
      <c r="G445" s="163"/>
      <c r="H445" s="163"/>
    </row>
    <row r="446" spans="4:8" ht="11.25" customHeight="1">
      <c r="D446" s="163"/>
      <c r="E446" s="163"/>
      <c r="F446" s="163"/>
      <c r="G446" s="163"/>
      <c r="H446" s="163"/>
    </row>
    <row r="447" spans="4:8" ht="11.25" customHeight="1">
      <c r="D447" s="163"/>
      <c r="E447" s="163"/>
      <c r="F447" s="163"/>
      <c r="G447" s="163"/>
      <c r="H447" s="163"/>
    </row>
    <row r="448" spans="4:8" ht="11.25" customHeight="1">
      <c r="D448" s="163"/>
      <c r="E448" s="163"/>
      <c r="F448" s="163"/>
      <c r="G448" s="163"/>
      <c r="H448" s="163"/>
    </row>
    <row r="449" spans="4:8" ht="11.25" customHeight="1">
      <c r="D449" s="163"/>
      <c r="E449" s="163"/>
      <c r="F449" s="163"/>
      <c r="G449" s="163"/>
      <c r="H449" s="163"/>
    </row>
    <row r="450" spans="4:8" ht="11.25" customHeight="1">
      <c r="D450" s="163"/>
      <c r="E450" s="163"/>
      <c r="F450" s="163"/>
      <c r="G450" s="163"/>
      <c r="H450" s="163"/>
    </row>
    <row r="451" spans="4:8" ht="11.25" customHeight="1">
      <c r="D451" s="163"/>
      <c r="E451" s="163"/>
      <c r="F451" s="163"/>
      <c r="G451" s="163"/>
      <c r="H451" s="163"/>
    </row>
    <row r="452" spans="4:8" ht="11.25" customHeight="1">
      <c r="D452" s="163"/>
      <c r="E452" s="163"/>
      <c r="F452" s="163"/>
      <c r="G452" s="163"/>
      <c r="H452" s="163"/>
    </row>
    <row r="453" spans="4:8" ht="11.25" customHeight="1">
      <c r="D453" s="163"/>
      <c r="E453" s="163"/>
      <c r="F453" s="163"/>
      <c r="G453" s="163"/>
      <c r="H453" s="163"/>
    </row>
    <row r="454" spans="4:8" ht="11.25" customHeight="1">
      <c r="D454" s="163"/>
      <c r="E454" s="163"/>
      <c r="F454" s="163"/>
      <c r="G454" s="163"/>
      <c r="H454" s="163"/>
    </row>
    <row r="455" spans="4:8" ht="11.25" customHeight="1">
      <c r="D455" s="163"/>
      <c r="E455" s="163"/>
      <c r="F455" s="163"/>
      <c r="G455" s="163"/>
      <c r="H455" s="163"/>
    </row>
    <row r="456" spans="4:8" ht="11.25" customHeight="1">
      <c r="D456" s="163"/>
      <c r="E456" s="163"/>
      <c r="F456" s="163"/>
      <c r="G456" s="163"/>
      <c r="H456" s="163"/>
    </row>
    <row r="457" spans="4:8" ht="11.25" customHeight="1">
      <c r="D457" s="163"/>
      <c r="E457" s="163"/>
      <c r="F457" s="163"/>
      <c r="G457" s="163"/>
      <c r="H457" s="163"/>
    </row>
    <row r="458" spans="4:8" ht="11.25" customHeight="1">
      <c r="D458" s="163"/>
      <c r="E458" s="163"/>
      <c r="F458" s="163"/>
      <c r="G458" s="163"/>
      <c r="H458" s="163"/>
    </row>
    <row r="459" spans="4:8" ht="11.25" customHeight="1">
      <c r="D459" s="163"/>
      <c r="E459" s="163"/>
      <c r="F459" s="163"/>
      <c r="G459" s="163"/>
      <c r="H459" s="163"/>
    </row>
    <row r="460" spans="4:8" ht="11.25" customHeight="1">
      <c r="D460" s="163"/>
      <c r="E460" s="163"/>
      <c r="F460" s="163"/>
      <c r="G460" s="163"/>
      <c r="H460" s="163"/>
    </row>
    <row r="461" spans="4:8" ht="11.25" customHeight="1">
      <c r="D461" s="163"/>
      <c r="E461" s="163"/>
      <c r="F461" s="163"/>
      <c r="G461" s="163"/>
      <c r="H461" s="163"/>
    </row>
    <row r="462" spans="4:8" ht="11.25" customHeight="1">
      <c r="D462" s="163"/>
      <c r="E462" s="163"/>
      <c r="F462" s="163"/>
      <c r="G462" s="163"/>
      <c r="H462" s="163"/>
    </row>
    <row r="463" spans="4:8" ht="11.25" customHeight="1">
      <c r="D463" s="163"/>
      <c r="E463" s="163"/>
      <c r="F463" s="163"/>
      <c r="G463" s="163"/>
      <c r="H463" s="163"/>
    </row>
    <row r="464" spans="4:8" ht="11.25" customHeight="1">
      <c r="D464" s="163"/>
      <c r="E464" s="163"/>
      <c r="F464" s="163"/>
      <c r="G464" s="163"/>
      <c r="H464" s="163"/>
    </row>
    <row r="465" spans="4:8" ht="11.25" customHeight="1">
      <c r="D465" s="163"/>
      <c r="E465" s="163"/>
      <c r="F465" s="163"/>
      <c r="G465" s="163"/>
      <c r="H465" s="163"/>
    </row>
    <row r="466" spans="4:8" ht="11.25" customHeight="1">
      <c r="D466" s="163"/>
      <c r="E466" s="163"/>
      <c r="F466" s="163"/>
      <c r="G466" s="163"/>
      <c r="H466" s="163"/>
    </row>
    <row r="467" spans="4:8" ht="11.25" customHeight="1">
      <c r="D467" s="163"/>
      <c r="E467" s="163"/>
      <c r="F467" s="163"/>
      <c r="G467" s="163"/>
      <c r="H467" s="163"/>
    </row>
    <row r="468" spans="4:8" ht="11.25" customHeight="1">
      <c r="D468" s="163"/>
      <c r="E468" s="163"/>
      <c r="F468" s="163"/>
      <c r="G468" s="163"/>
      <c r="H468" s="163"/>
    </row>
    <row r="469" spans="4:8" ht="11.25" customHeight="1">
      <c r="D469" s="163"/>
      <c r="E469" s="163"/>
      <c r="F469" s="163"/>
      <c r="G469" s="163"/>
      <c r="H469" s="163"/>
    </row>
    <row r="470" spans="4:8" ht="11.25" customHeight="1">
      <c r="D470" s="163"/>
      <c r="E470" s="163"/>
      <c r="F470" s="163"/>
      <c r="G470" s="163"/>
      <c r="H470" s="163"/>
    </row>
    <row r="471" spans="4:8" ht="11.25" customHeight="1">
      <c r="D471" s="163"/>
      <c r="E471" s="163"/>
      <c r="F471" s="163"/>
      <c r="G471" s="163"/>
      <c r="H471" s="163"/>
    </row>
    <row r="472" spans="4:8" ht="11.25" customHeight="1">
      <c r="D472" s="163"/>
      <c r="E472" s="163"/>
      <c r="F472" s="163"/>
      <c r="G472" s="163"/>
      <c r="H472" s="163"/>
    </row>
    <row r="473" spans="4:8" ht="11.25" customHeight="1">
      <c r="D473" s="163"/>
      <c r="E473" s="163"/>
      <c r="F473" s="163"/>
      <c r="G473" s="163"/>
      <c r="H473" s="163"/>
    </row>
    <row r="474" spans="4:8" ht="11.25" customHeight="1">
      <c r="D474" s="163"/>
      <c r="E474" s="163"/>
      <c r="F474" s="163"/>
      <c r="G474" s="163"/>
      <c r="H474" s="163"/>
    </row>
    <row r="475" spans="4:8" ht="11.25" customHeight="1">
      <c r="D475" s="163"/>
      <c r="E475" s="163"/>
      <c r="F475" s="163"/>
      <c r="G475" s="163"/>
      <c r="H475" s="163"/>
    </row>
    <row r="476" spans="4:8" ht="11.25" customHeight="1">
      <c r="D476" s="163"/>
      <c r="E476" s="163"/>
      <c r="F476" s="163"/>
      <c r="G476" s="163"/>
      <c r="H476" s="163"/>
    </row>
    <row r="477" spans="4:8" ht="11.25" customHeight="1">
      <c r="D477" s="163"/>
      <c r="E477" s="163"/>
      <c r="F477" s="163"/>
      <c r="G477" s="163"/>
      <c r="H477" s="163"/>
    </row>
    <row r="478" spans="4:8" ht="11.25" customHeight="1">
      <c r="D478" s="163"/>
      <c r="E478" s="163"/>
      <c r="F478" s="163"/>
      <c r="G478" s="163"/>
      <c r="H478" s="163"/>
    </row>
    <row r="479" spans="4:8" ht="11.25" customHeight="1">
      <c r="D479" s="163"/>
      <c r="E479" s="163"/>
      <c r="F479" s="163"/>
      <c r="G479" s="163"/>
      <c r="H479" s="163"/>
    </row>
    <row r="480" spans="4:8" ht="11.25" customHeight="1">
      <c r="D480" s="163"/>
      <c r="E480" s="163"/>
      <c r="F480" s="163"/>
      <c r="G480" s="163"/>
      <c r="H480" s="163"/>
    </row>
    <row r="481" spans="4:8" ht="11.25" customHeight="1">
      <c r="D481" s="163"/>
      <c r="E481" s="163"/>
      <c r="F481" s="163"/>
      <c r="G481" s="163"/>
      <c r="H481" s="163"/>
    </row>
    <row r="482" spans="4:8" ht="11.25" customHeight="1">
      <c r="D482" s="163"/>
      <c r="E482" s="163"/>
      <c r="F482" s="163"/>
      <c r="G482" s="163"/>
      <c r="H482" s="163"/>
    </row>
    <row r="483" spans="4:8" ht="11.25" customHeight="1">
      <c r="D483" s="163"/>
      <c r="E483" s="163"/>
      <c r="F483" s="163"/>
      <c r="G483" s="163"/>
      <c r="H483" s="163"/>
    </row>
    <row r="484" spans="4:8" ht="11.25" customHeight="1">
      <c r="D484" s="163"/>
      <c r="E484" s="163"/>
      <c r="F484" s="163"/>
      <c r="G484" s="163"/>
      <c r="H484" s="163"/>
    </row>
    <row r="485" spans="4:8" ht="11.25" customHeight="1">
      <c r="D485" s="163"/>
      <c r="E485" s="163"/>
      <c r="F485" s="163"/>
      <c r="G485" s="163"/>
      <c r="H485" s="163"/>
    </row>
    <row r="486" spans="4:8" ht="11.25" customHeight="1">
      <c r="D486" s="163"/>
      <c r="E486" s="163"/>
      <c r="F486" s="163"/>
      <c r="G486" s="163"/>
      <c r="H486" s="163"/>
    </row>
    <row r="487" spans="4:8" ht="11.25" customHeight="1">
      <c r="D487" s="163"/>
      <c r="E487" s="163"/>
      <c r="F487" s="163"/>
      <c r="G487" s="163"/>
      <c r="H487" s="163"/>
    </row>
    <row r="488" spans="4:8" ht="11.25" customHeight="1">
      <c r="D488" s="163"/>
      <c r="E488" s="163"/>
      <c r="F488" s="163"/>
      <c r="G488" s="163"/>
      <c r="H488" s="163"/>
    </row>
    <row r="489" spans="4:8" ht="11.25" customHeight="1">
      <c r="D489" s="163"/>
      <c r="E489" s="163"/>
      <c r="F489" s="163"/>
      <c r="G489" s="163"/>
      <c r="H489" s="163"/>
    </row>
    <row r="490" spans="4:8" ht="11.25" customHeight="1">
      <c r="D490" s="163"/>
      <c r="E490" s="163"/>
      <c r="F490" s="163"/>
      <c r="G490" s="163"/>
      <c r="H490" s="163"/>
    </row>
    <row r="491" spans="4:8" ht="11.25" customHeight="1">
      <c r="D491" s="163"/>
      <c r="E491" s="163"/>
      <c r="F491" s="163"/>
      <c r="G491" s="163"/>
      <c r="H491" s="163"/>
    </row>
    <row r="492" spans="4:8" ht="11.25" customHeight="1">
      <c r="D492" s="163"/>
      <c r="E492" s="163"/>
      <c r="F492" s="163"/>
      <c r="G492" s="163"/>
      <c r="H492" s="163"/>
    </row>
    <row r="493" spans="4:8" ht="11.25" customHeight="1">
      <c r="D493" s="163"/>
      <c r="E493" s="163"/>
      <c r="F493" s="163"/>
      <c r="G493" s="163"/>
      <c r="H493" s="163"/>
    </row>
    <row r="494" spans="4:8" ht="11.25" customHeight="1">
      <c r="D494" s="163"/>
      <c r="E494" s="163"/>
      <c r="F494" s="163"/>
      <c r="G494" s="163"/>
      <c r="H494" s="163"/>
    </row>
    <row r="495" spans="4:8" ht="11.25" customHeight="1">
      <c r="D495" s="163"/>
      <c r="E495" s="163"/>
      <c r="F495" s="163"/>
      <c r="G495" s="163"/>
      <c r="H495" s="163"/>
    </row>
    <row r="496" spans="4:8" ht="11.25" customHeight="1">
      <c r="D496" s="163"/>
      <c r="E496" s="163"/>
      <c r="F496" s="163"/>
      <c r="G496" s="163"/>
      <c r="H496" s="163"/>
    </row>
    <row r="497" spans="4:8" ht="11.25" customHeight="1">
      <c r="D497" s="163"/>
      <c r="E497" s="163"/>
      <c r="F497" s="163"/>
      <c r="G497" s="163"/>
      <c r="H497" s="163"/>
    </row>
    <row r="498" spans="4:8" ht="11.25" customHeight="1">
      <c r="D498" s="163"/>
      <c r="E498" s="163"/>
      <c r="F498" s="163"/>
      <c r="G498" s="163"/>
      <c r="H498" s="163"/>
    </row>
    <row r="499" spans="4:8" ht="11.25" customHeight="1">
      <c r="D499" s="163"/>
      <c r="E499" s="163"/>
      <c r="F499" s="163"/>
      <c r="G499" s="163"/>
      <c r="H499" s="163"/>
    </row>
    <row r="500" spans="4:8" ht="11.25" customHeight="1">
      <c r="D500" s="163"/>
      <c r="E500" s="163"/>
      <c r="F500" s="163"/>
      <c r="G500" s="163"/>
      <c r="H500" s="163"/>
    </row>
    <row r="501" spans="4:8" ht="11.25" customHeight="1">
      <c r="D501" s="163"/>
      <c r="E501" s="163"/>
      <c r="F501" s="163"/>
      <c r="G501" s="163"/>
      <c r="H501" s="163"/>
    </row>
    <row r="502" spans="4:8" ht="11.25" customHeight="1">
      <c r="D502" s="163"/>
      <c r="E502" s="163"/>
      <c r="F502" s="163"/>
      <c r="G502" s="163"/>
      <c r="H502" s="163"/>
    </row>
    <row r="503" spans="4:8" ht="11.25" customHeight="1">
      <c r="D503" s="163"/>
      <c r="E503" s="163"/>
      <c r="F503" s="163"/>
      <c r="G503" s="163"/>
      <c r="H503" s="163"/>
    </row>
    <row r="504" spans="4:8" ht="11.25" customHeight="1">
      <c r="D504" s="163"/>
      <c r="E504" s="163"/>
      <c r="F504" s="163"/>
      <c r="G504" s="163"/>
      <c r="H504" s="163"/>
    </row>
    <row r="505" spans="4:8" ht="11.25" customHeight="1">
      <c r="D505" s="163"/>
      <c r="E505" s="163"/>
      <c r="F505" s="163"/>
      <c r="G505" s="163"/>
      <c r="H505" s="163"/>
    </row>
    <row r="506" spans="4:8" ht="11.25" customHeight="1">
      <c r="D506" s="163"/>
      <c r="E506" s="163"/>
      <c r="F506" s="163"/>
      <c r="G506" s="163"/>
      <c r="H506" s="163"/>
    </row>
    <row r="507" spans="4:8" ht="11.25" customHeight="1">
      <c r="D507" s="163"/>
      <c r="E507" s="163"/>
      <c r="F507" s="163"/>
      <c r="G507" s="163"/>
      <c r="H507" s="163"/>
    </row>
    <row r="508" spans="4:8" ht="11.25" customHeight="1">
      <c r="D508" s="163"/>
      <c r="E508" s="163"/>
      <c r="F508" s="163"/>
      <c r="G508" s="163"/>
      <c r="H508" s="163"/>
    </row>
    <row r="509" spans="4:8" ht="11.25" customHeight="1">
      <c r="D509" s="163"/>
      <c r="E509" s="163"/>
      <c r="F509" s="163"/>
      <c r="G509" s="163"/>
      <c r="H509" s="163"/>
    </row>
    <row r="510" spans="4:8" ht="11.25" customHeight="1">
      <c r="D510" s="163"/>
      <c r="E510" s="163"/>
      <c r="F510" s="163"/>
      <c r="G510" s="163"/>
      <c r="H510" s="163"/>
    </row>
    <row r="511" spans="4:8" ht="11.25" customHeight="1">
      <c r="D511" s="163"/>
      <c r="E511" s="163"/>
      <c r="F511" s="163"/>
      <c r="G511" s="163"/>
      <c r="H511" s="163"/>
    </row>
    <row r="512" spans="4:8" ht="11.25" customHeight="1">
      <c r="D512" s="163"/>
      <c r="E512" s="163"/>
      <c r="F512" s="163"/>
      <c r="G512" s="163"/>
      <c r="H512" s="163"/>
    </row>
    <row r="513" spans="4:8" ht="11.25" customHeight="1">
      <c r="D513" s="163"/>
      <c r="E513" s="163"/>
      <c r="F513" s="163"/>
      <c r="G513" s="163"/>
      <c r="H513" s="163"/>
    </row>
    <row r="514" spans="4:8" ht="11.25" customHeight="1">
      <c r="D514" s="163"/>
      <c r="E514" s="163"/>
      <c r="F514" s="163"/>
      <c r="G514" s="163"/>
      <c r="H514" s="163"/>
    </row>
    <row r="515" spans="4:8" ht="11.25" customHeight="1">
      <c r="D515" s="163"/>
      <c r="E515" s="163"/>
      <c r="F515" s="163"/>
      <c r="G515" s="163"/>
      <c r="H515" s="163"/>
    </row>
    <row r="516" spans="4:8" ht="11.25" customHeight="1">
      <c r="D516" s="163"/>
      <c r="E516" s="163"/>
      <c r="F516" s="163"/>
      <c r="G516" s="163"/>
      <c r="H516" s="163"/>
    </row>
    <row r="517" spans="4:8" ht="11.25" customHeight="1">
      <c r="D517" s="163"/>
      <c r="E517" s="163"/>
      <c r="F517" s="163"/>
      <c r="G517" s="163"/>
      <c r="H517" s="163"/>
    </row>
    <row r="518" spans="4:8" ht="11.25" customHeight="1">
      <c r="D518" s="163"/>
      <c r="E518" s="163"/>
      <c r="F518" s="163"/>
      <c r="G518" s="163"/>
      <c r="H518" s="163"/>
    </row>
    <row r="519" spans="4:8" ht="11.25" customHeight="1">
      <c r="D519" s="163"/>
      <c r="E519" s="163"/>
      <c r="F519" s="163"/>
      <c r="G519" s="163"/>
      <c r="H519" s="163"/>
    </row>
    <row r="520" spans="4:8" ht="11.25" customHeight="1">
      <c r="D520" s="163"/>
      <c r="E520" s="163"/>
      <c r="F520" s="163"/>
      <c r="G520" s="163"/>
      <c r="H520" s="163"/>
    </row>
    <row r="521" spans="4:8" ht="11.25" customHeight="1">
      <c r="D521" s="163"/>
      <c r="E521" s="163"/>
      <c r="F521" s="163"/>
      <c r="G521" s="163"/>
      <c r="H521" s="163"/>
    </row>
    <row r="522" spans="4:8" ht="11.25" customHeight="1">
      <c r="D522" s="163"/>
      <c r="E522" s="163"/>
      <c r="F522" s="163"/>
      <c r="G522" s="163"/>
      <c r="H522" s="163"/>
    </row>
    <row r="523" spans="4:8" ht="11.25" customHeight="1">
      <c r="D523" s="163"/>
      <c r="E523" s="163"/>
      <c r="F523" s="163"/>
      <c r="G523" s="163"/>
      <c r="H523" s="163"/>
    </row>
    <row r="524" spans="4:8" ht="11.25" customHeight="1">
      <c r="D524" s="163"/>
      <c r="E524" s="163"/>
      <c r="F524" s="163"/>
      <c r="G524" s="163"/>
      <c r="H524" s="163"/>
    </row>
    <row r="525" spans="4:8" ht="11.25" customHeight="1">
      <c r="D525" s="163"/>
      <c r="E525" s="163"/>
      <c r="F525" s="163"/>
      <c r="G525" s="163"/>
      <c r="H525" s="163"/>
    </row>
    <row r="526" spans="4:8" ht="11.25" customHeight="1">
      <c r="D526" s="163"/>
      <c r="E526" s="163"/>
      <c r="F526" s="163"/>
      <c r="G526" s="163"/>
      <c r="H526" s="163"/>
    </row>
    <row r="527" spans="4:8" ht="11.25" customHeight="1">
      <c r="D527" s="163"/>
      <c r="E527" s="163"/>
      <c r="F527" s="163"/>
      <c r="G527" s="163"/>
      <c r="H527" s="163"/>
    </row>
    <row r="528" spans="4:8" ht="11.25" customHeight="1">
      <c r="D528" s="163"/>
      <c r="E528" s="163"/>
      <c r="F528" s="163"/>
      <c r="G528" s="163"/>
      <c r="H528" s="163"/>
    </row>
    <row r="529" spans="4:8" ht="11.25" customHeight="1">
      <c r="D529" s="163"/>
      <c r="E529" s="163"/>
      <c r="F529" s="163"/>
      <c r="G529" s="163"/>
      <c r="H529" s="163"/>
    </row>
    <row r="530" spans="4:8" ht="11.25" customHeight="1">
      <c r="D530" s="163"/>
      <c r="E530" s="163"/>
      <c r="F530" s="163"/>
      <c r="G530" s="163"/>
      <c r="H530" s="163"/>
    </row>
    <row r="531" spans="4:8" ht="11.25" customHeight="1">
      <c r="D531" s="163"/>
      <c r="E531" s="163"/>
      <c r="F531" s="163"/>
      <c r="G531" s="163"/>
      <c r="H531" s="163"/>
    </row>
    <row r="532" spans="4:8" ht="11.25" customHeight="1">
      <c r="D532" s="163"/>
      <c r="E532" s="163"/>
      <c r="F532" s="163"/>
      <c r="G532" s="163"/>
      <c r="H532" s="163"/>
    </row>
    <row r="533" spans="4:8" ht="11.25" customHeight="1">
      <c r="D533" s="163"/>
      <c r="E533" s="163"/>
      <c r="F533" s="163"/>
      <c r="G533" s="163"/>
      <c r="H533" s="163"/>
    </row>
    <row r="534" spans="4:8" ht="11.25" customHeight="1">
      <c r="D534" s="163"/>
      <c r="E534" s="163"/>
      <c r="F534" s="163"/>
      <c r="G534" s="163"/>
      <c r="H534" s="163"/>
    </row>
    <row r="535" spans="4:8" ht="11.25" customHeight="1">
      <c r="D535" s="163"/>
      <c r="E535" s="163"/>
      <c r="F535" s="163"/>
      <c r="G535" s="163"/>
      <c r="H535" s="163"/>
    </row>
    <row r="536" spans="4:8" ht="11.25" customHeight="1">
      <c r="D536" s="163"/>
      <c r="E536" s="163"/>
      <c r="F536" s="163"/>
      <c r="G536" s="163"/>
      <c r="H536" s="163"/>
    </row>
    <row r="537" spans="4:8" ht="11.25" customHeight="1">
      <c r="D537" s="163"/>
      <c r="E537" s="163"/>
      <c r="F537" s="163"/>
      <c r="G537" s="163"/>
      <c r="H537" s="163"/>
    </row>
    <row r="538" spans="4:8" ht="11.25" customHeight="1">
      <c r="D538" s="163"/>
      <c r="E538" s="163"/>
      <c r="F538" s="163"/>
      <c r="G538" s="163"/>
      <c r="H538" s="163"/>
    </row>
    <row r="539" spans="4:8" ht="11.25" customHeight="1">
      <c r="D539" s="163"/>
      <c r="E539" s="163"/>
      <c r="F539" s="163"/>
      <c r="G539" s="163"/>
      <c r="H539" s="163"/>
    </row>
    <row r="540" spans="4:8" ht="11.25" customHeight="1">
      <c r="D540" s="163"/>
      <c r="E540" s="163"/>
      <c r="F540" s="163"/>
      <c r="G540" s="163"/>
      <c r="H540" s="163"/>
    </row>
    <row r="541" spans="4:8" ht="11.25" customHeight="1">
      <c r="D541" s="163"/>
      <c r="E541" s="163"/>
      <c r="F541" s="163"/>
      <c r="G541" s="163"/>
      <c r="H541" s="163"/>
    </row>
    <row r="542" spans="4:8" ht="11.25" customHeight="1">
      <c r="D542" s="163"/>
      <c r="E542" s="163"/>
      <c r="F542" s="163"/>
      <c r="G542" s="163"/>
      <c r="H542" s="163"/>
    </row>
    <row r="543" spans="4:8" ht="11.25" customHeight="1">
      <c r="D543" s="163"/>
      <c r="E543" s="163"/>
      <c r="F543" s="163"/>
      <c r="G543" s="163"/>
      <c r="H543" s="163"/>
    </row>
    <row r="544" spans="4:8" ht="11.25" customHeight="1">
      <c r="D544" s="163"/>
      <c r="E544" s="163"/>
      <c r="F544" s="163"/>
      <c r="G544" s="163"/>
      <c r="H544" s="163"/>
    </row>
    <row r="545" spans="4:8" ht="11.25" customHeight="1">
      <c r="D545" s="163"/>
      <c r="E545" s="163"/>
      <c r="F545" s="163"/>
      <c r="G545" s="163"/>
      <c r="H545" s="163"/>
    </row>
    <row r="546" spans="4:8" ht="11.25" customHeight="1">
      <c r="D546" s="163"/>
      <c r="E546" s="163"/>
      <c r="F546" s="163"/>
      <c r="G546" s="163"/>
      <c r="H546" s="163"/>
    </row>
    <row r="547" spans="4:8" ht="11.25" customHeight="1">
      <c r="D547" s="163"/>
      <c r="E547" s="163"/>
      <c r="F547" s="163"/>
      <c r="G547" s="163"/>
      <c r="H547" s="163"/>
    </row>
    <row r="548" spans="4:8" ht="11.25" customHeight="1">
      <c r="D548" s="163"/>
      <c r="E548" s="163"/>
      <c r="F548" s="163"/>
      <c r="G548" s="163"/>
      <c r="H548" s="163"/>
    </row>
    <row r="549" spans="4:8" ht="11.25" customHeight="1">
      <c r="D549" s="163"/>
      <c r="E549" s="163"/>
      <c r="F549" s="163"/>
      <c r="G549" s="163"/>
      <c r="H549" s="163"/>
    </row>
    <row r="550" spans="4:8" ht="11.25" customHeight="1">
      <c r="D550" s="163"/>
      <c r="E550" s="163"/>
      <c r="F550" s="163"/>
      <c r="G550" s="163"/>
      <c r="H550" s="163"/>
    </row>
    <row r="551" spans="4:8" ht="11.25" customHeight="1">
      <c r="D551" s="163"/>
      <c r="E551" s="163"/>
      <c r="F551" s="163"/>
      <c r="G551" s="163"/>
      <c r="H551" s="163"/>
    </row>
    <row r="552" spans="4:8" ht="11.25" customHeight="1">
      <c r="D552" s="163"/>
      <c r="E552" s="163"/>
      <c r="F552" s="163"/>
      <c r="G552" s="163"/>
      <c r="H552" s="163"/>
    </row>
    <row r="553" spans="4:8" ht="11.25" customHeight="1">
      <c r="D553" s="163"/>
      <c r="E553" s="163"/>
      <c r="F553" s="163"/>
      <c r="G553" s="163"/>
      <c r="H553" s="163"/>
    </row>
    <row r="554" spans="4:8" ht="11.25" customHeight="1">
      <c r="D554" s="163"/>
      <c r="E554" s="163"/>
      <c r="F554" s="163"/>
      <c r="G554" s="163"/>
      <c r="H554" s="163"/>
    </row>
    <row r="555" spans="4:8" ht="11.25" customHeight="1">
      <c r="D555" s="163"/>
      <c r="E555" s="163"/>
      <c r="F555" s="163"/>
      <c r="G555" s="163"/>
      <c r="H555" s="163"/>
    </row>
    <row r="556" spans="4:8" ht="11.25" customHeight="1">
      <c r="D556" s="163"/>
      <c r="E556" s="163"/>
      <c r="F556" s="163"/>
      <c r="G556" s="163"/>
      <c r="H556" s="163"/>
    </row>
    <row r="557" spans="4:8" ht="11.25" customHeight="1">
      <c r="D557" s="163"/>
      <c r="E557" s="163"/>
      <c r="F557" s="163"/>
      <c r="G557" s="163"/>
      <c r="H557" s="163"/>
    </row>
    <row r="558" spans="4:8" ht="11.25" customHeight="1">
      <c r="D558" s="163"/>
      <c r="E558" s="163"/>
      <c r="F558" s="163"/>
      <c r="G558" s="163"/>
      <c r="H558" s="163"/>
    </row>
    <row r="559" spans="4:8" ht="11.25" customHeight="1">
      <c r="D559" s="163"/>
      <c r="E559" s="163"/>
      <c r="F559" s="163"/>
      <c r="G559" s="163"/>
      <c r="H559" s="163"/>
    </row>
    <row r="560" spans="4:8" ht="11.25" customHeight="1">
      <c r="D560" s="163"/>
      <c r="E560" s="163"/>
      <c r="F560" s="163"/>
      <c r="G560" s="163"/>
      <c r="H560" s="163"/>
    </row>
    <row r="561" spans="4:8" ht="11.25" customHeight="1">
      <c r="D561" s="163"/>
      <c r="E561" s="163"/>
      <c r="F561" s="163"/>
      <c r="G561" s="163"/>
      <c r="H561" s="163"/>
    </row>
    <row r="562" spans="4:8" ht="11.25" customHeight="1">
      <c r="D562" s="163"/>
      <c r="E562" s="163"/>
      <c r="F562" s="163"/>
      <c r="G562" s="163"/>
      <c r="H562" s="163"/>
    </row>
    <row r="563" spans="4:8" ht="11.25" customHeight="1">
      <c r="D563" s="163"/>
      <c r="E563" s="163"/>
      <c r="F563" s="163"/>
      <c r="G563" s="163"/>
      <c r="H563" s="163"/>
    </row>
    <row r="564" spans="4:8" ht="11.25" customHeight="1">
      <c r="D564" s="163"/>
      <c r="E564" s="163"/>
      <c r="F564" s="163"/>
      <c r="G564" s="163"/>
      <c r="H564" s="163"/>
    </row>
    <row r="565" spans="4:8" ht="11.25" customHeight="1">
      <c r="D565" s="163"/>
      <c r="E565" s="163"/>
      <c r="F565" s="163"/>
      <c r="G565" s="163"/>
      <c r="H565" s="163"/>
    </row>
    <row r="566" spans="4:8" ht="11.25" customHeight="1">
      <c r="D566" s="163"/>
      <c r="E566" s="163"/>
      <c r="F566" s="163"/>
      <c r="G566" s="163"/>
      <c r="H566" s="163"/>
    </row>
    <row r="567" spans="4:8" ht="11.25" customHeight="1">
      <c r="D567" s="163"/>
      <c r="E567" s="163"/>
      <c r="F567" s="163"/>
      <c r="G567" s="163"/>
      <c r="H567" s="163"/>
    </row>
    <row r="568" spans="4:8" ht="11.25" customHeight="1">
      <c r="D568" s="163"/>
      <c r="E568" s="163"/>
      <c r="F568" s="163"/>
      <c r="G568" s="163"/>
      <c r="H568" s="163"/>
    </row>
    <row r="569" spans="4:8" ht="11.25" customHeight="1">
      <c r="D569" s="163"/>
      <c r="E569" s="163"/>
      <c r="F569" s="163"/>
      <c r="G569" s="163"/>
      <c r="H569" s="163"/>
    </row>
    <row r="570" spans="4:8" ht="11.25" customHeight="1">
      <c r="D570" s="163"/>
      <c r="E570" s="163"/>
      <c r="F570" s="163"/>
      <c r="G570" s="163"/>
      <c r="H570" s="163"/>
    </row>
    <row r="571" spans="4:8" ht="11.25" customHeight="1">
      <c r="D571" s="163"/>
      <c r="E571" s="163"/>
      <c r="F571" s="163"/>
      <c r="G571" s="163"/>
      <c r="H571" s="163"/>
    </row>
    <row r="572" spans="4:8" ht="11.25" customHeight="1">
      <c r="D572" s="163"/>
      <c r="E572" s="163"/>
      <c r="F572" s="163"/>
      <c r="G572" s="163"/>
      <c r="H572" s="163"/>
    </row>
    <row r="573" spans="4:8" ht="11.25" customHeight="1">
      <c r="D573" s="163"/>
      <c r="E573" s="163"/>
      <c r="F573" s="163"/>
      <c r="G573" s="163"/>
      <c r="H573" s="163"/>
    </row>
    <row r="574" spans="4:8" ht="11.25" customHeight="1">
      <c r="D574" s="163"/>
      <c r="E574" s="163"/>
      <c r="F574" s="163"/>
      <c r="G574" s="163"/>
      <c r="H574" s="163"/>
    </row>
    <row r="575" spans="4:8" ht="11.25" customHeight="1">
      <c r="D575" s="163"/>
      <c r="E575" s="163"/>
      <c r="F575" s="163"/>
      <c r="G575" s="163"/>
      <c r="H575" s="163"/>
    </row>
    <row r="576" spans="4:8" ht="11.25" customHeight="1">
      <c r="D576" s="163"/>
      <c r="E576" s="163"/>
      <c r="F576" s="163"/>
      <c r="G576" s="163"/>
      <c r="H576" s="163"/>
    </row>
    <row r="577" spans="4:8" ht="11.25" customHeight="1">
      <c r="D577" s="163"/>
      <c r="E577" s="163"/>
      <c r="F577" s="163"/>
      <c r="G577" s="163"/>
      <c r="H577" s="163"/>
    </row>
    <row r="578" spans="4:8" ht="11.25" customHeight="1">
      <c r="D578" s="163"/>
      <c r="E578" s="163"/>
      <c r="F578" s="163"/>
      <c r="G578" s="163"/>
      <c r="H578" s="163"/>
    </row>
    <row r="579" spans="4:8" ht="11.25" customHeight="1">
      <c r="D579" s="163"/>
      <c r="E579" s="163"/>
      <c r="F579" s="163"/>
      <c r="G579" s="163"/>
      <c r="H579" s="163"/>
    </row>
    <row r="580" spans="4:8" ht="11.25" customHeight="1">
      <c r="D580" s="163"/>
      <c r="E580" s="163"/>
      <c r="F580" s="163"/>
      <c r="G580" s="163"/>
      <c r="H580" s="163"/>
    </row>
    <row r="581" spans="4:8" ht="11.25" customHeight="1">
      <c r="D581" s="163"/>
      <c r="E581" s="163"/>
      <c r="F581" s="163"/>
      <c r="G581" s="163"/>
      <c r="H581" s="163"/>
    </row>
    <row r="582" spans="4:8" ht="11.25" customHeight="1">
      <c r="D582" s="163"/>
      <c r="E582" s="163"/>
      <c r="F582" s="163"/>
      <c r="G582" s="163"/>
      <c r="H582" s="163"/>
    </row>
    <row r="583" spans="4:8" ht="11.25" customHeight="1">
      <c r="D583" s="163"/>
      <c r="E583" s="163"/>
      <c r="F583" s="163"/>
      <c r="G583" s="163"/>
      <c r="H583" s="163"/>
    </row>
    <row r="584" spans="4:8" ht="11.25" customHeight="1">
      <c r="D584" s="163"/>
      <c r="E584" s="163"/>
      <c r="F584" s="163"/>
      <c r="G584" s="163"/>
      <c r="H584" s="163"/>
    </row>
    <row r="585" spans="4:8" ht="11.25" customHeight="1">
      <c r="D585" s="163"/>
      <c r="E585" s="163"/>
      <c r="F585" s="163"/>
      <c r="G585" s="163"/>
      <c r="H585" s="163"/>
    </row>
    <row r="586" spans="4:8" ht="11.25" customHeight="1">
      <c r="D586" s="163"/>
      <c r="E586" s="163"/>
      <c r="F586" s="163"/>
      <c r="G586" s="163"/>
      <c r="H586" s="163"/>
    </row>
    <row r="587" spans="4:8" ht="11.25" customHeight="1">
      <c r="D587" s="163"/>
      <c r="E587" s="163"/>
      <c r="F587" s="163"/>
      <c r="G587" s="163"/>
      <c r="H587" s="163"/>
    </row>
    <row r="588" spans="4:8" ht="11.25" customHeight="1">
      <c r="D588" s="163"/>
      <c r="E588" s="163"/>
      <c r="F588" s="163"/>
      <c r="G588" s="163"/>
      <c r="H588" s="163"/>
    </row>
    <row r="589" spans="4:8" ht="11.25" customHeight="1">
      <c r="D589" s="163"/>
      <c r="E589" s="163"/>
      <c r="F589" s="163"/>
      <c r="G589" s="163"/>
      <c r="H589" s="163"/>
    </row>
    <row r="590" spans="4:8" ht="11.25" customHeight="1">
      <c r="D590" s="163"/>
      <c r="E590" s="163"/>
      <c r="F590" s="163"/>
      <c r="G590" s="163"/>
      <c r="H590" s="163"/>
    </row>
    <row r="591" spans="4:8" ht="11.25" customHeight="1">
      <c r="D591" s="163"/>
      <c r="E591" s="163"/>
      <c r="F591" s="163"/>
      <c r="G591" s="163"/>
      <c r="H591" s="163"/>
    </row>
    <row r="592" spans="4:8" ht="11.25" customHeight="1">
      <c r="D592" s="163"/>
      <c r="E592" s="163"/>
      <c r="F592" s="163"/>
      <c r="G592" s="163"/>
      <c r="H592" s="163"/>
    </row>
    <row r="593" spans="4:8" ht="11.25" customHeight="1">
      <c r="D593" s="163"/>
      <c r="E593" s="163"/>
      <c r="F593" s="163"/>
      <c r="G593" s="163"/>
      <c r="H593" s="163"/>
    </row>
    <row r="594" spans="4:8" ht="11.25" customHeight="1">
      <c r="D594" s="163"/>
      <c r="E594" s="163"/>
      <c r="F594" s="163"/>
      <c r="G594" s="163"/>
      <c r="H594" s="163"/>
    </row>
    <row r="595" spans="4:8" ht="11.25" customHeight="1">
      <c r="D595" s="163"/>
      <c r="E595" s="163"/>
      <c r="F595" s="163"/>
      <c r="G595" s="163"/>
      <c r="H595" s="163"/>
    </row>
    <row r="596" spans="4:8" ht="11.25" customHeight="1">
      <c r="D596" s="163"/>
      <c r="E596" s="163"/>
      <c r="F596" s="163"/>
      <c r="G596" s="163"/>
      <c r="H596" s="163"/>
    </row>
    <row r="597" spans="4:8" ht="11.25" customHeight="1">
      <c r="D597" s="163"/>
      <c r="E597" s="163"/>
      <c r="F597" s="163"/>
      <c r="G597" s="163"/>
      <c r="H597" s="163"/>
    </row>
    <row r="598" spans="4:8" ht="11.25" customHeight="1">
      <c r="D598" s="163"/>
      <c r="E598" s="163"/>
      <c r="F598" s="163"/>
      <c r="G598" s="163"/>
      <c r="H598" s="163"/>
    </row>
    <row r="599" spans="4:8" ht="11.25" customHeight="1">
      <c r="D599" s="163"/>
      <c r="E599" s="163"/>
      <c r="F599" s="163"/>
      <c r="G599" s="163"/>
      <c r="H599" s="163"/>
    </row>
    <row r="600" spans="4:8" ht="11.25" customHeight="1">
      <c r="D600" s="163"/>
      <c r="E600" s="163"/>
      <c r="F600" s="163"/>
      <c r="G600" s="163"/>
      <c r="H600" s="163"/>
    </row>
    <row r="601" spans="4:8" ht="11.25" customHeight="1">
      <c r="D601" s="163"/>
      <c r="E601" s="163"/>
      <c r="F601" s="163"/>
      <c r="G601" s="163"/>
      <c r="H601" s="163"/>
    </row>
    <row r="602" spans="4:8" ht="11.25" customHeight="1">
      <c r="D602" s="163"/>
      <c r="E602" s="163"/>
      <c r="F602" s="163"/>
      <c r="G602" s="163"/>
      <c r="H602" s="163"/>
    </row>
    <row r="603" spans="4:8" ht="11.25" customHeight="1">
      <c r="D603" s="163"/>
      <c r="E603" s="163"/>
      <c r="F603" s="163"/>
      <c r="G603" s="163"/>
      <c r="H603" s="163"/>
    </row>
    <row r="604" spans="4:8" ht="11.25" customHeight="1">
      <c r="D604" s="163"/>
      <c r="E604" s="163"/>
      <c r="F604" s="163"/>
      <c r="G604" s="163"/>
      <c r="H604" s="163"/>
    </row>
    <row r="605" spans="4:8" ht="11.25" customHeight="1">
      <c r="D605" s="163"/>
      <c r="E605" s="163"/>
      <c r="F605" s="163"/>
      <c r="G605" s="163"/>
      <c r="H605" s="163"/>
    </row>
    <row r="606" spans="4:8" ht="11.25" customHeight="1">
      <c r="D606" s="163"/>
      <c r="E606" s="163"/>
      <c r="F606" s="163"/>
      <c r="G606" s="163"/>
      <c r="H606" s="163"/>
    </row>
    <row r="607" spans="4:8" ht="11.25" customHeight="1">
      <c r="D607" s="163"/>
      <c r="E607" s="163"/>
      <c r="F607" s="163"/>
      <c r="G607" s="163"/>
      <c r="H607" s="163"/>
    </row>
    <row r="608" spans="4:8" ht="11.25" customHeight="1">
      <c r="D608" s="163"/>
      <c r="E608" s="163"/>
      <c r="F608" s="163"/>
      <c r="G608" s="163"/>
      <c r="H608" s="163"/>
    </row>
    <row r="609" spans="4:8" ht="11.25" customHeight="1">
      <c r="D609" s="163"/>
      <c r="E609" s="163"/>
      <c r="F609" s="163"/>
      <c r="G609" s="163"/>
      <c r="H609" s="163"/>
    </row>
    <row r="610" spans="4:8" ht="11.25" customHeight="1">
      <c r="D610" s="163"/>
      <c r="E610" s="163"/>
      <c r="F610" s="163"/>
      <c r="G610" s="163"/>
      <c r="H610" s="163"/>
    </row>
    <row r="611" spans="4:8" ht="11.25" customHeight="1">
      <c r="D611" s="163"/>
      <c r="E611" s="163"/>
      <c r="F611" s="163"/>
      <c r="G611" s="163"/>
      <c r="H611" s="163"/>
    </row>
    <row r="612" spans="4:8" ht="11.25" customHeight="1">
      <c r="D612" s="163"/>
      <c r="E612" s="163"/>
      <c r="F612" s="163"/>
      <c r="G612" s="163"/>
      <c r="H612" s="163"/>
    </row>
    <row r="613" spans="4:8" ht="11.25" customHeight="1">
      <c r="D613" s="163"/>
      <c r="E613" s="163"/>
      <c r="F613" s="163"/>
      <c r="G613" s="163"/>
      <c r="H613" s="163"/>
    </row>
    <row r="614" spans="4:8" ht="11.25" customHeight="1">
      <c r="D614" s="163"/>
      <c r="E614" s="163"/>
      <c r="F614" s="163"/>
      <c r="G614" s="163"/>
      <c r="H614" s="163"/>
    </row>
    <row r="615" spans="4:8" ht="11.25" customHeight="1">
      <c r="D615" s="163"/>
      <c r="E615" s="163"/>
      <c r="F615" s="163"/>
      <c r="G615" s="163"/>
      <c r="H615" s="163"/>
    </row>
    <row r="616" spans="4:8" ht="11.25" customHeight="1">
      <c r="D616" s="163"/>
      <c r="E616" s="163"/>
      <c r="F616" s="163"/>
      <c r="G616" s="163"/>
      <c r="H616" s="163"/>
    </row>
    <row r="617" spans="4:8" ht="11.25" customHeight="1">
      <c r="D617" s="163"/>
      <c r="E617" s="163"/>
      <c r="F617" s="163"/>
      <c r="G617" s="163"/>
      <c r="H617" s="163"/>
    </row>
    <row r="618" spans="4:8" ht="11.25" customHeight="1">
      <c r="D618" s="163"/>
      <c r="E618" s="163"/>
      <c r="F618" s="163"/>
      <c r="G618" s="163"/>
      <c r="H618" s="163"/>
    </row>
    <row r="619" spans="4:8" ht="11.25" customHeight="1">
      <c r="D619" s="163"/>
      <c r="E619" s="163"/>
      <c r="F619" s="163"/>
      <c r="G619" s="163"/>
      <c r="H619" s="163"/>
    </row>
    <row r="620" spans="4:8" ht="11.25" customHeight="1">
      <c r="D620" s="163"/>
      <c r="E620" s="163"/>
      <c r="F620" s="163"/>
      <c r="G620" s="163"/>
      <c r="H620" s="163"/>
    </row>
    <row r="621" spans="4:8" ht="11.25" customHeight="1">
      <c r="D621" s="163"/>
      <c r="E621" s="163"/>
      <c r="F621" s="163"/>
      <c r="G621" s="163"/>
      <c r="H621" s="163"/>
    </row>
    <row r="622" spans="4:8" ht="11.25" customHeight="1">
      <c r="D622" s="163"/>
      <c r="E622" s="163"/>
      <c r="F622" s="163"/>
      <c r="G622" s="163"/>
      <c r="H622" s="163"/>
    </row>
    <row r="623" spans="4:8" ht="11.25" customHeight="1">
      <c r="D623" s="163"/>
      <c r="E623" s="163"/>
      <c r="F623" s="163"/>
      <c r="G623" s="163"/>
      <c r="H623" s="163"/>
    </row>
    <row r="624" spans="4:8" ht="11.25" customHeight="1">
      <c r="D624" s="163"/>
      <c r="E624" s="163"/>
      <c r="F624" s="163"/>
      <c r="G624" s="163"/>
      <c r="H624" s="163"/>
    </row>
    <row r="625" spans="4:8" ht="11.25" customHeight="1">
      <c r="D625" s="163"/>
      <c r="E625" s="163"/>
      <c r="F625" s="163"/>
      <c r="G625" s="163"/>
      <c r="H625" s="163"/>
    </row>
    <row r="626" spans="4:8" ht="11.25" customHeight="1">
      <c r="D626" s="163"/>
      <c r="E626" s="163"/>
      <c r="F626" s="163"/>
      <c r="G626" s="163"/>
      <c r="H626" s="163"/>
    </row>
    <row r="627" spans="4:8" ht="11.25" customHeight="1">
      <c r="D627" s="163"/>
      <c r="E627" s="163"/>
      <c r="F627" s="163"/>
      <c r="G627" s="163"/>
      <c r="H627" s="163"/>
    </row>
    <row r="628" spans="4:8" ht="11.25" customHeight="1">
      <c r="D628" s="163"/>
      <c r="E628" s="163"/>
      <c r="F628" s="163"/>
      <c r="G628" s="163"/>
      <c r="H628" s="163"/>
    </row>
    <row r="629" spans="4:8" ht="11.25" customHeight="1">
      <c r="D629" s="163"/>
      <c r="E629" s="163"/>
      <c r="F629" s="163"/>
      <c r="G629" s="163"/>
      <c r="H629" s="163"/>
    </row>
    <row r="630" spans="4:8" ht="11.25" customHeight="1">
      <c r="D630" s="163"/>
      <c r="E630" s="163"/>
      <c r="F630" s="163"/>
      <c r="G630" s="163"/>
      <c r="H630" s="163"/>
    </row>
    <row r="631" spans="4:8" ht="11.25" customHeight="1">
      <c r="D631" s="163"/>
      <c r="E631" s="163"/>
      <c r="F631" s="163"/>
      <c r="G631" s="163"/>
      <c r="H631" s="163"/>
    </row>
    <row r="632" spans="4:8" ht="11.25" customHeight="1">
      <c r="D632" s="163"/>
      <c r="E632" s="163"/>
      <c r="F632" s="163"/>
      <c r="G632" s="163"/>
      <c r="H632" s="163"/>
    </row>
    <row r="633" spans="4:8" ht="11.25" customHeight="1">
      <c r="D633" s="163"/>
      <c r="E633" s="163"/>
      <c r="F633" s="163"/>
      <c r="G633" s="163"/>
      <c r="H633" s="163"/>
    </row>
    <row r="634" spans="4:8" ht="11.25" customHeight="1">
      <c r="D634" s="163"/>
      <c r="E634" s="163"/>
      <c r="F634" s="163"/>
      <c r="G634" s="163"/>
      <c r="H634" s="163"/>
    </row>
    <row r="635" spans="4:8" ht="11.25" customHeight="1">
      <c r="D635" s="163"/>
      <c r="E635" s="163"/>
      <c r="F635" s="163"/>
      <c r="G635" s="163"/>
      <c r="H635" s="163"/>
    </row>
    <row r="636" spans="4:8" ht="11.25" customHeight="1">
      <c r="D636" s="163"/>
      <c r="E636" s="163"/>
      <c r="F636" s="163"/>
      <c r="G636" s="163"/>
      <c r="H636" s="163"/>
    </row>
    <row r="637" spans="4:8" ht="11.25" customHeight="1">
      <c r="D637" s="163"/>
      <c r="E637" s="163"/>
      <c r="F637" s="163"/>
      <c r="G637" s="163"/>
      <c r="H637" s="163"/>
    </row>
    <row r="638" spans="4:8" ht="11.25" customHeight="1">
      <c r="D638" s="163"/>
      <c r="E638" s="163"/>
      <c r="F638" s="163"/>
      <c r="G638" s="163"/>
      <c r="H638" s="163"/>
    </row>
    <row r="639" spans="4:8" ht="11.25" customHeight="1">
      <c r="D639" s="163"/>
      <c r="E639" s="163"/>
      <c r="F639" s="163"/>
      <c r="G639" s="163"/>
      <c r="H639" s="163"/>
    </row>
    <row r="640" spans="4:8" ht="11.25" customHeight="1">
      <c r="D640" s="163"/>
      <c r="E640" s="163"/>
      <c r="F640" s="163"/>
      <c r="G640" s="163"/>
      <c r="H640" s="163"/>
    </row>
    <row r="641" spans="4:8" ht="11.25" customHeight="1">
      <c r="D641" s="163"/>
      <c r="E641" s="163"/>
      <c r="F641" s="163"/>
      <c r="G641" s="163"/>
      <c r="H641" s="163"/>
    </row>
    <row r="642" spans="4:8" ht="11.25" customHeight="1">
      <c r="D642" s="163"/>
      <c r="E642" s="163"/>
      <c r="F642" s="163"/>
      <c r="G642" s="163"/>
      <c r="H642" s="163"/>
    </row>
    <row r="643" spans="4:8" ht="11.25" customHeight="1">
      <c r="D643" s="163"/>
      <c r="E643" s="163"/>
      <c r="F643" s="163"/>
      <c r="G643" s="163"/>
      <c r="H643" s="163"/>
    </row>
    <row r="644" spans="4:8" ht="11.25" customHeight="1">
      <c r="D644" s="163"/>
      <c r="E644" s="163"/>
      <c r="F644" s="163"/>
      <c r="G644" s="163"/>
      <c r="H644" s="163"/>
    </row>
    <row r="645" spans="4:8" ht="11.25" customHeight="1">
      <c r="D645" s="163"/>
      <c r="E645" s="163"/>
      <c r="F645" s="163"/>
      <c r="G645" s="163"/>
      <c r="H645" s="163"/>
    </row>
    <row r="646" spans="4:8" ht="11.25" customHeight="1">
      <c r="D646" s="163"/>
      <c r="E646" s="163"/>
      <c r="F646" s="163"/>
      <c r="G646" s="163"/>
      <c r="H646" s="163"/>
    </row>
    <row r="647" spans="4:8" ht="11.25" customHeight="1">
      <c r="D647" s="163"/>
      <c r="E647" s="163"/>
      <c r="F647" s="163"/>
      <c r="G647" s="163"/>
      <c r="H647" s="163"/>
    </row>
    <row r="648" spans="4:8" ht="11.25" customHeight="1">
      <c r="D648" s="163"/>
      <c r="E648" s="163"/>
      <c r="F648" s="163"/>
      <c r="G648" s="163"/>
      <c r="H648" s="163"/>
    </row>
    <row r="649" spans="4:8" ht="11.25" customHeight="1">
      <c r="D649" s="163"/>
      <c r="E649" s="163"/>
      <c r="F649" s="163"/>
      <c r="G649" s="163"/>
      <c r="H649" s="163"/>
    </row>
    <row r="650" spans="4:8" ht="11.25" customHeight="1">
      <c r="D650" s="163"/>
      <c r="E650" s="163"/>
      <c r="F650" s="163"/>
      <c r="G650" s="163"/>
      <c r="H650" s="163"/>
    </row>
    <row r="651" spans="4:8" ht="11.25" customHeight="1">
      <c r="D651" s="163"/>
      <c r="E651" s="163"/>
      <c r="F651" s="163"/>
      <c r="G651" s="163"/>
      <c r="H651" s="163"/>
    </row>
    <row r="652" spans="4:8" ht="11.25" customHeight="1">
      <c r="D652" s="163"/>
      <c r="E652" s="163"/>
      <c r="F652" s="163"/>
      <c r="G652" s="163"/>
      <c r="H652" s="163"/>
    </row>
    <row r="653" spans="4:8" ht="11.25" customHeight="1">
      <c r="D653" s="163"/>
      <c r="E653" s="163"/>
      <c r="F653" s="163"/>
      <c r="G653" s="163"/>
      <c r="H653" s="163"/>
    </row>
    <row r="654" spans="4:8" ht="11.25" customHeight="1">
      <c r="D654" s="163"/>
      <c r="E654" s="163"/>
      <c r="F654" s="163"/>
      <c r="G654" s="163"/>
      <c r="H654" s="163"/>
    </row>
    <row r="655" spans="4:8" ht="11.25" customHeight="1">
      <c r="D655" s="163"/>
      <c r="E655" s="163"/>
      <c r="F655" s="163"/>
      <c r="G655" s="163"/>
      <c r="H655" s="163"/>
    </row>
    <row r="656" spans="4:8" ht="11.25" customHeight="1">
      <c r="D656" s="163"/>
      <c r="E656" s="163"/>
      <c r="F656" s="163"/>
      <c r="G656" s="163"/>
      <c r="H656" s="163"/>
    </row>
    <row r="657" spans="4:8" ht="11.25" customHeight="1">
      <c r="D657" s="163"/>
      <c r="E657" s="163"/>
      <c r="F657" s="163"/>
      <c r="G657" s="163"/>
      <c r="H657" s="163"/>
    </row>
    <row r="658" spans="4:8" ht="11.25" customHeight="1">
      <c r="D658" s="163"/>
      <c r="E658" s="163"/>
      <c r="F658" s="163"/>
      <c r="G658" s="163"/>
      <c r="H658" s="163"/>
    </row>
    <row r="659" spans="4:8" ht="11.25" customHeight="1">
      <c r="D659" s="163"/>
      <c r="E659" s="163"/>
      <c r="F659" s="163"/>
      <c r="G659" s="163"/>
      <c r="H659" s="163"/>
    </row>
    <row r="660" spans="4:8" ht="11.25" customHeight="1">
      <c r="D660" s="163"/>
      <c r="E660" s="163"/>
      <c r="F660" s="163"/>
      <c r="G660" s="163"/>
      <c r="H660" s="163"/>
    </row>
    <row r="661" spans="4:8" ht="11.25" customHeight="1">
      <c r="D661" s="163"/>
      <c r="E661" s="163"/>
      <c r="F661" s="163"/>
      <c r="G661" s="163"/>
      <c r="H661" s="163"/>
    </row>
    <row r="662" spans="4:8" ht="11.25" customHeight="1">
      <c r="D662" s="163"/>
      <c r="E662" s="163"/>
      <c r="F662" s="163"/>
      <c r="G662" s="163"/>
      <c r="H662" s="163"/>
    </row>
    <row r="663" spans="4:8" ht="11.25" customHeight="1">
      <c r="D663" s="163"/>
      <c r="E663" s="163"/>
      <c r="F663" s="163"/>
      <c r="G663" s="163"/>
      <c r="H663" s="163"/>
    </row>
    <row r="664" spans="4:8" ht="11.25" customHeight="1">
      <c r="D664" s="163"/>
      <c r="E664" s="163"/>
      <c r="F664" s="163"/>
      <c r="G664" s="163"/>
      <c r="H664" s="163"/>
    </row>
    <row r="665" spans="4:8" ht="11.25" customHeight="1">
      <c r="D665" s="163"/>
      <c r="E665" s="163"/>
      <c r="F665" s="163"/>
      <c r="G665" s="163"/>
      <c r="H665" s="163"/>
    </row>
    <row r="666" spans="4:8" ht="11.25" customHeight="1">
      <c r="D666" s="163"/>
      <c r="E666" s="163"/>
      <c r="F666" s="163"/>
      <c r="G666" s="163"/>
      <c r="H666" s="163"/>
    </row>
    <row r="667" spans="4:8" ht="11.25" customHeight="1">
      <c r="D667" s="163"/>
      <c r="E667" s="163"/>
      <c r="F667" s="163"/>
      <c r="G667" s="163"/>
      <c r="H667" s="163"/>
    </row>
    <row r="668" spans="4:8" ht="11.25" customHeight="1">
      <c r="D668" s="163"/>
      <c r="E668" s="163"/>
      <c r="F668" s="163"/>
      <c r="G668" s="163"/>
      <c r="H668" s="163"/>
    </row>
    <row r="669" spans="4:8" ht="11.25" customHeight="1">
      <c r="D669" s="163"/>
      <c r="E669" s="163"/>
      <c r="F669" s="163"/>
      <c r="G669" s="163"/>
      <c r="H669" s="163"/>
    </row>
    <row r="670" spans="4:8" ht="11.25" customHeight="1">
      <c r="D670" s="163"/>
      <c r="E670" s="163"/>
      <c r="F670" s="163"/>
      <c r="G670" s="163"/>
      <c r="H670" s="163"/>
    </row>
    <row r="671" spans="4:8" ht="11.25" customHeight="1">
      <c r="D671" s="163"/>
      <c r="E671" s="163"/>
      <c r="F671" s="163"/>
      <c r="G671" s="163"/>
      <c r="H671" s="163"/>
    </row>
    <row r="672" spans="4:8" ht="11.25" customHeight="1">
      <c r="D672" s="163"/>
      <c r="E672" s="163"/>
      <c r="F672" s="163"/>
      <c r="G672" s="163"/>
      <c r="H672" s="163"/>
    </row>
    <row r="673" spans="4:8" ht="11.25" customHeight="1">
      <c r="D673" s="163"/>
      <c r="E673" s="163"/>
      <c r="F673" s="163"/>
      <c r="G673" s="163"/>
      <c r="H673" s="163"/>
    </row>
    <row r="674" spans="4:8" ht="11.25" customHeight="1">
      <c r="D674" s="163"/>
      <c r="E674" s="163"/>
      <c r="F674" s="163"/>
      <c r="G674" s="163"/>
      <c r="H674" s="163"/>
    </row>
    <row r="675" spans="4:8" ht="11.25" customHeight="1">
      <c r="D675" s="163"/>
      <c r="E675" s="163"/>
      <c r="F675" s="163"/>
      <c r="G675" s="163"/>
      <c r="H675" s="163"/>
    </row>
    <row r="676" spans="4:8" ht="11.25" customHeight="1">
      <c r="D676" s="163"/>
      <c r="E676" s="163"/>
      <c r="F676" s="163"/>
      <c r="G676" s="163"/>
      <c r="H676" s="163"/>
    </row>
    <row r="677" spans="4:8" ht="11.25" customHeight="1">
      <c r="D677" s="163"/>
      <c r="E677" s="163"/>
      <c r="F677" s="163"/>
      <c r="G677" s="163"/>
      <c r="H677" s="163"/>
    </row>
    <row r="678" spans="4:8" ht="11.25" customHeight="1">
      <c r="D678" s="163"/>
      <c r="E678" s="163"/>
      <c r="F678" s="163"/>
      <c r="G678" s="163"/>
      <c r="H678" s="163"/>
    </row>
    <row r="679" spans="4:8" ht="11.25" customHeight="1">
      <c r="D679" s="163"/>
      <c r="E679" s="163"/>
      <c r="F679" s="163"/>
      <c r="G679" s="163"/>
      <c r="H679" s="163"/>
    </row>
    <row r="680" spans="4:8" ht="11.25" customHeight="1">
      <c r="D680" s="163"/>
      <c r="E680" s="163"/>
      <c r="F680" s="163"/>
      <c r="G680" s="163"/>
      <c r="H680" s="163"/>
    </row>
    <row r="681" spans="4:8" ht="11.25" customHeight="1">
      <c r="D681" s="163"/>
      <c r="E681" s="163"/>
      <c r="F681" s="163"/>
      <c r="G681" s="163"/>
      <c r="H681" s="163"/>
    </row>
    <row r="682" spans="4:8" ht="11.25" customHeight="1">
      <c r="D682" s="163"/>
      <c r="E682" s="163"/>
      <c r="F682" s="163"/>
      <c r="G682" s="163"/>
      <c r="H682" s="163"/>
    </row>
    <row r="683" spans="4:8" ht="11.25" customHeight="1">
      <c r="D683" s="163"/>
      <c r="E683" s="163"/>
      <c r="F683" s="163"/>
      <c r="G683" s="163"/>
      <c r="H683" s="163"/>
    </row>
    <row r="684" spans="4:8" ht="11.25" customHeight="1">
      <c r="D684" s="163"/>
      <c r="E684" s="163"/>
      <c r="F684" s="163"/>
      <c r="G684" s="163"/>
      <c r="H684" s="163"/>
    </row>
    <row r="685" spans="4:8" ht="11.25" customHeight="1">
      <c r="D685" s="163"/>
      <c r="E685" s="163"/>
      <c r="F685" s="163"/>
      <c r="G685" s="163"/>
      <c r="H685" s="163"/>
    </row>
    <row r="686" spans="4:8" ht="11.25" customHeight="1">
      <c r="D686" s="163"/>
      <c r="E686" s="163"/>
      <c r="F686" s="163"/>
      <c r="G686" s="163"/>
      <c r="H686" s="163"/>
    </row>
    <row r="687" spans="4:8" ht="11.25" customHeight="1">
      <c r="D687" s="163"/>
      <c r="E687" s="163"/>
      <c r="F687" s="163"/>
      <c r="G687" s="163"/>
      <c r="H687" s="163"/>
    </row>
    <row r="688" spans="4:8" ht="11.25" customHeight="1">
      <c r="D688" s="163"/>
      <c r="E688" s="163"/>
      <c r="F688" s="163"/>
      <c r="G688" s="163"/>
      <c r="H688" s="163"/>
    </row>
    <row r="689" spans="4:8" ht="11.25" customHeight="1">
      <c r="D689" s="163"/>
      <c r="E689" s="163"/>
      <c r="F689" s="163"/>
      <c r="G689" s="163"/>
      <c r="H689" s="163"/>
    </row>
    <row r="690" spans="4:8" ht="11.25" customHeight="1">
      <c r="D690" s="163"/>
      <c r="E690" s="163"/>
      <c r="F690" s="163"/>
      <c r="G690" s="163"/>
      <c r="H690" s="163"/>
    </row>
    <row r="691" spans="4:8" ht="11.25" customHeight="1">
      <c r="D691" s="163"/>
      <c r="E691" s="163"/>
      <c r="F691" s="163"/>
      <c r="G691" s="163"/>
      <c r="H691" s="163"/>
    </row>
    <row r="692" spans="4:8" ht="11.25" customHeight="1">
      <c r="D692" s="163"/>
      <c r="E692" s="163"/>
      <c r="F692" s="163"/>
      <c r="G692" s="163"/>
      <c r="H692" s="163"/>
    </row>
    <row r="693" spans="4:8" ht="11.25" customHeight="1">
      <c r="D693" s="163"/>
      <c r="E693" s="163"/>
      <c r="F693" s="163"/>
      <c r="G693" s="163"/>
      <c r="H693" s="163"/>
    </row>
    <row r="694" spans="4:8" ht="11.25" customHeight="1">
      <c r="D694" s="163"/>
      <c r="E694" s="163"/>
      <c r="F694" s="163"/>
      <c r="G694" s="163"/>
      <c r="H694" s="163"/>
    </row>
    <row r="695" spans="4:8" ht="11.25" customHeight="1">
      <c r="D695" s="163"/>
      <c r="E695" s="163"/>
      <c r="F695" s="163"/>
      <c r="G695" s="163"/>
      <c r="H695" s="163"/>
    </row>
    <row r="696" spans="4:8" ht="11.25" customHeight="1">
      <c r="D696" s="163"/>
      <c r="E696" s="163"/>
      <c r="F696" s="163"/>
      <c r="G696" s="163"/>
      <c r="H696" s="163"/>
    </row>
    <row r="697" spans="4:8" ht="11.25" customHeight="1">
      <c r="D697" s="163"/>
      <c r="E697" s="163"/>
      <c r="F697" s="163"/>
      <c r="G697" s="163"/>
      <c r="H697" s="163"/>
    </row>
    <row r="698" spans="4:8" ht="11.25" customHeight="1">
      <c r="D698" s="163"/>
      <c r="E698" s="163"/>
      <c r="F698" s="163"/>
      <c r="G698" s="163"/>
      <c r="H698" s="163"/>
    </row>
    <row r="699" spans="4:8" ht="11.25" customHeight="1">
      <c r="D699" s="163"/>
      <c r="E699" s="163"/>
      <c r="F699" s="163"/>
      <c r="G699" s="163"/>
      <c r="H699" s="163"/>
    </row>
    <row r="700" spans="4:8" ht="11.25" customHeight="1">
      <c r="D700" s="163"/>
      <c r="E700" s="163"/>
      <c r="F700" s="163"/>
      <c r="G700" s="163"/>
      <c r="H700" s="163"/>
    </row>
    <row r="701" spans="4:8" ht="11.25" customHeight="1">
      <c r="D701" s="163"/>
      <c r="E701" s="163"/>
      <c r="F701" s="163"/>
      <c r="G701" s="163"/>
      <c r="H701" s="163"/>
    </row>
    <row r="702" spans="4:8" ht="11.25" customHeight="1">
      <c r="D702" s="163"/>
      <c r="E702" s="163"/>
      <c r="F702" s="163"/>
      <c r="G702" s="163"/>
      <c r="H702" s="163"/>
    </row>
    <row r="703" spans="4:8" ht="11.25" customHeight="1">
      <c r="D703" s="163"/>
      <c r="E703" s="163"/>
      <c r="F703" s="163"/>
      <c r="G703" s="163"/>
      <c r="H703" s="163"/>
    </row>
    <row r="704" spans="4:8" ht="11.25" customHeight="1">
      <c r="D704" s="163"/>
      <c r="E704" s="163"/>
      <c r="F704" s="163"/>
      <c r="G704" s="163"/>
      <c r="H704" s="163"/>
    </row>
    <row r="705" spans="4:8" ht="11.25" customHeight="1">
      <c r="D705" s="163"/>
      <c r="E705" s="163"/>
      <c r="F705" s="163"/>
      <c r="G705" s="163"/>
      <c r="H705" s="163"/>
    </row>
    <row r="706" spans="4:8" ht="11.25" customHeight="1">
      <c r="D706" s="163"/>
      <c r="E706" s="163"/>
      <c r="F706" s="163"/>
      <c r="G706" s="163"/>
      <c r="H706" s="163"/>
    </row>
    <row r="707" spans="4:8" ht="11.25" customHeight="1">
      <c r="D707" s="163"/>
      <c r="E707" s="163"/>
      <c r="F707" s="163"/>
      <c r="G707" s="163"/>
      <c r="H707" s="163"/>
    </row>
    <row r="708" spans="4:8" ht="11.25" customHeight="1">
      <c r="D708" s="163"/>
      <c r="E708" s="163"/>
      <c r="F708" s="163"/>
      <c r="G708" s="163"/>
      <c r="H708" s="163"/>
    </row>
    <row r="709" spans="4:8" ht="11.25" customHeight="1">
      <c r="D709" s="163"/>
      <c r="E709" s="163"/>
      <c r="F709" s="163"/>
      <c r="G709" s="163"/>
      <c r="H709" s="163"/>
    </row>
    <row r="710" spans="4:8" ht="11.25" customHeight="1">
      <c r="D710" s="163"/>
      <c r="E710" s="163"/>
      <c r="F710" s="163"/>
      <c r="G710" s="163"/>
      <c r="H710" s="163"/>
    </row>
    <row r="711" spans="4:8" ht="11.25" customHeight="1">
      <c r="D711" s="163"/>
      <c r="E711" s="163"/>
      <c r="F711" s="163"/>
      <c r="G711" s="163"/>
      <c r="H711" s="163"/>
    </row>
    <row r="712" spans="4:8" ht="11.25" customHeight="1">
      <c r="D712" s="163"/>
      <c r="E712" s="163"/>
      <c r="F712" s="163"/>
      <c r="G712" s="163"/>
      <c r="H712" s="163"/>
    </row>
    <row r="713" spans="4:8" ht="11.25" customHeight="1">
      <c r="D713" s="163"/>
      <c r="E713" s="163"/>
      <c r="F713" s="163"/>
      <c r="G713" s="163"/>
      <c r="H713" s="163"/>
    </row>
    <row r="714" spans="4:8" ht="11.25" customHeight="1">
      <c r="D714" s="163"/>
      <c r="E714" s="163"/>
      <c r="F714" s="163"/>
      <c r="G714" s="163"/>
      <c r="H714" s="163"/>
    </row>
    <row r="715" spans="4:8" ht="11.25" customHeight="1">
      <c r="D715" s="163"/>
      <c r="E715" s="163"/>
      <c r="F715" s="163"/>
      <c r="G715" s="163"/>
      <c r="H715" s="163"/>
    </row>
    <row r="716" spans="4:8" ht="11.25" customHeight="1">
      <c r="D716" s="163"/>
      <c r="E716" s="163"/>
      <c r="F716" s="163"/>
      <c r="G716" s="163"/>
      <c r="H716" s="163"/>
    </row>
    <row r="717" spans="4:8" ht="11.25" customHeight="1">
      <c r="D717" s="163"/>
      <c r="E717" s="163"/>
      <c r="F717" s="163"/>
      <c r="G717" s="163"/>
      <c r="H717" s="163"/>
    </row>
    <row r="718" spans="4:8" ht="11.25" customHeight="1">
      <c r="D718" s="163"/>
      <c r="E718" s="163"/>
      <c r="F718" s="163"/>
      <c r="G718" s="163"/>
      <c r="H718" s="163"/>
    </row>
    <row r="719" spans="4:8" ht="11.25" customHeight="1">
      <c r="D719" s="163"/>
      <c r="E719" s="163"/>
      <c r="F719" s="163"/>
      <c r="G719" s="163"/>
      <c r="H719" s="163"/>
    </row>
    <row r="720" spans="4:8" ht="11.25" customHeight="1">
      <c r="D720" s="163"/>
      <c r="E720" s="163"/>
      <c r="F720" s="163"/>
      <c r="G720" s="163"/>
      <c r="H720" s="163"/>
    </row>
    <row r="721" spans="4:8" ht="11.25" customHeight="1">
      <c r="D721" s="163"/>
      <c r="E721" s="163"/>
      <c r="F721" s="163"/>
      <c r="G721" s="163"/>
      <c r="H721" s="163"/>
    </row>
    <row r="722" spans="4:8" ht="11.25" customHeight="1">
      <c r="D722" s="163"/>
      <c r="E722" s="163"/>
      <c r="F722" s="163"/>
      <c r="G722" s="163"/>
      <c r="H722" s="163"/>
    </row>
    <row r="723" spans="4:8" ht="11.25" customHeight="1">
      <c r="D723" s="163"/>
      <c r="E723" s="163"/>
      <c r="F723" s="163"/>
      <c r="G723" s="163"/>
      <c r="H723" s="163"/>
    </row>
    <row r="724" spans="4:8" ht="11.25" customHeight="1">
      <c r="D724" s="163"/>
      <c r="E724" s="163"/>
      <c r="F724" s="163"/>
      <c r="G724" s="163"/>
      <c r="H724" s="163"/>
    </row>
    <row r="725" spans="4:8" ht="11.25" customHeight="1">
      <c r="D725" s="163"/>
      <c r="E725" s="163"/>
      <c r="F725" s="163"/>
      <c r="G725" s="163"/>
      <c r="H725" s="163"/>
    </row>
    <row r="726" spans="4:8" ht="11.25" customHeight="1">
      <c r="D726" s="163"/>
      <c r="E726" s="163"/>
      <c r="F726" s="163"/>
      <c r="G726" s="163"/>
      <c r="H726" s="163"/>
    </row>
    <row r="727" spans="4:8" ht="11.25" customHeight="1">
      <c r="D727" s="163"/>
      <c r="E727" s="163"/>
      <c r="F727" s="163"/>
      <c r="G727" s="163"/>
      <c r="H727" s="163"/>
    </row>
    <row r="728" spans="4:8" ht="11.25" customHeight="1">
      <c r="D728" s="163"/>
      <c r="E728" s="163"/>
      <c r="F728" s="163"/>
      <c r="G728" s="163"/>
      <c r="H728" s="163"/>
    </row>
    <row r="729" spans="4:8" ht="11.25" customHeight="1">
      <c r="D729" s="163"/>
      <c r="E729" s="163"/>
      <c r="F729" s="163"/>
      <c r="G729" s="163"/>
      <c r="H729" s="163"/>
    </row>
    <row r="730" spans="4:8" ht="11.25" customHeight="1">
      <c r="D730" s="163"/>
      <c r="E730" s="163"/>
      <c r="F730" s="163"/>
      <c r="G730" s="163"/>
      <c r="H730" s="163"/>
    </row>
    <row r="731" spans="4:8" ht="11.25" customHeight="1">
      <c r="D731" s="163"/>
      <c r="E731" s="163"/>
      <c r="F731" s="163"/>
      <c r="G731" s="163"/>
      <c r="H731" s="163"/>
    </row>
    <row r="732" spans="4:8" ht="11.25" customHeight="1">
      <c r="D732" s="163"/>
      <c r="E732" s="163"/>
      <c r="F732" s="163"/>
      <c r="G732" s="163"/>
      <c r="H732" s="163"/>
    </row>
    <row r="733" spans="4:8" ht="11.25" customHeight="1">
      <c r="D733" s="163"/>
      <c r="E733" s="163"/>
      <c r="F733" s="163"/>
      <c r="G733" s="163"/>
      <c r="H733" s="163"/>
    </row>
    <row r="734" spans="4:8" ht="11.25" customHeight="1">
      <c r="D734" s="163"/>
      <c r="E734" s="163"/>
      <c r="F734" s="163"/>
      <c r="G734" s="163"/>
      <c r="H734" s="163"/>
    </row>
    <row r="735" spans="4:8" ht="11.25" customHeight="1">
      <c r="D735" s="163"/>
      <c r="E735" s="163"/>
      <c r="F735" s="163"/>
      <c r="G735" s="163"/>
      <c r="H735" s="163"/>
    </row>
    <row r="736" spans="4:8" ht="11.25" customHeight="1">
      <c r="D736" s="163"/>
      <c r="E736" s="163"/>
      <c r="F736" s="163"/>
      <c r="G736" s="163"/>
      <c r="H736" s="163"/>
    </row>
    <row r="737" spans="4:8" ht="11.25" customHeight="1">
      <c r="D737" s="163"/>
      <c r="E737" s="163"/>
      <c r="F737" s="163"/>
      <c r="G737" s="163"/>
      <c r="H737" s="163"/>
    </row>
    <row r="738" spans="4:8" ht="11.25" customHeight="1">
      <c r="D738" s="163"/>
      <c r="E738" s="163"/>
      <c r="F738" s="163"/>
      <c r="G738" s="163"/>
      <c r="H738" s="163"/>
    </row>
    <row r="739" spans="4:8" ht="11.25" customHeight="1">
      <c r="D739" s="163"/>
      <c r="E739" s="163"/>
      <c r="F739" s="163"/>
      <c r="G739" s="163"/>
      <c r="H739" s="163"/>
    </row>
    <row r="740" spans="4:8" ht="11.25" customHeight="1">
      <c r="D740" s="163"/>
      <c r="E740" s="163"/>
      <c r="F740" s="163"/>
      <c r="G740" s="163"/>
      <c r="H740" s="163"/>
    </row>
    <row r="741" spans="4:8" ht="11.25" customHeight="1">
      <c r="D741" s="163"/>
      <c r="E741" s="163"/>
      <c r="F741" s="163"/>
      <c r="G741" s="163"/>
      <c r="H741" s="163"/>
    </row>
    <row r="742" spans="4:8" ht="11.25" customHeight="1">
      <c r="D742" s="163"/>
      <c r="E742" s="163"/>
      <c r="F742" s="163"/>
      <c r="G742" s="163"/>
      <c r="H742" s="163"/>
    </row>
    <row r="743" spans="4:8" ht="11.25" customHeight="1">
      <c r="D743" s="163"/>
      <c r="E743" s="163"/>
      <c r="F743" s="163"/>
      <c r="G743" s="163"/>
      <c r="H743" s="163"/>
    </row>
    <row r="744" spans="4:8" ht="11.25" customHeight="1">
      <c r="D744" s="163"/>
      <c r="E744" s="163"/>
      <c r="F744" s="163"/>
      <c r="G744" s="163"/>
      <c r="H744" s="163"/>
    </row>
    <row r="745" spans="4:8" ht="11.25" customHeight="1">
      <c r="D745" s="163"/>
      <c r="E745" s="163"/>
      <c r="F745" s="163"/>
      <c r="G745" s="163"/>
      <c r="H745" s="163"/>
    </row>
    <row r="746" spans="4:8" ht="11.25" customHeight="1">
      <c r="D746" s="163"/>
      <c r="E746" s="163"/>
      <c r="F746" s="163"/>
      <c r="G746" s="163"/>
      <c r="H746" s="163"/>
    </row>
    <row r="747" spans="4:8" ht="11.25" customHeight="1">
      <c r="D747" s="163"/>
      <c r="E747" s="163"/>
      <c r="F747" s="163"/>
      <c r="G747" s="163"/>
      <c r="H747" s="163"/>
    </row>
    <row r="748" spans="4:8" ht="11.25" customHeight="1">
      <c r="D748" s="163"/>
      <c r="E748" s="163"/>
      <c r="F748" s="163"/>
      <c r="G748" s="163"/>
      <c r="H748" s="163"/>
    </row>
    <row r="749" spans="4:8" ht="11.25" customHeight="1">
      <c r="D749" s="163"/>
      <c r="E749" s="163"/>
      <c r="F749" s="163"/>
      <c r="G749" s="163"/>
      <c r="H749" s="163"/>
    </row>
    <row r="750" spans="4:8" ht="11.25" customHeight="1">
      <c r="D750" s="163"/>
      <c r="E750" s="163"/>
      <c r="F750" s="163"/>
      <c r="G750" s="163"/>
      <c r="H750" s="163"/>
    </row>
    <row r="751" spans="4:8" ht="11.25" customHeight="1">
      <c r="D751" s="163"/>
      <c r="E751" s="163"/>
      <c r="F751" s="163"/>
      <c r="G751" s="163"/>
      <c r="H751" s="163"/>
    </row>
    <row r="752" spans="4:8" ht="11.25" customHeight="1">
      <c r="D752" s="163"/>
      <c r="E752" s="163"/>
      <c r="F752" s="163"/>
      <c r="G752" s="163"/>
      <c r="H752" s="163"/>
    </row>
    <row r="753" spans="4:8" ht="11.25" customHeight="1">
      <c r="D753" s="163"/>
      <c r="E753" s="163"/>
      <c r="F753" s="163"/>
      <c r="G753" s="163"/>
      <c r="H753" s="163"/>
    </row>
    <row r="754" spans="4:8" ht="11.25" customHeight="1">
      <c r="D754" s="163"/>
      <c r="E754" s="163"/>
      <c r="F754" s="163"/>
      <c r="G754" s="163"/>
      <c r="H754" s="163"/>
    </row>
    <row r="755" spans="4:8" ht="11.25" customHeight="1">
      <c r="D755" s="163"/>
      <c r="E755" s="163"/>
      <c r="F755" s="163"/>
      <c r="G755" s="163"/>
      <c r="H755" s="163"/>
    </row>
    <row r="756" spans="4:8" ht="11.25" customHeight="1">
      <c r="D756" s="163"/>
      <c r="E756" s="163"/>
      <c r="F756" s="163"/>
      <c r="G756" s="163"/>
      <c r="H756" s="163"/>
    </row>
    <row r="757" spans="4:8" ht="11.25" customHeight="1">
      <c r="D757" s="163"/>
      <c r="E757" s="163"/>
      <c r="F757" s="163"/>
      <c r="G757" s="163"/>
      <c r="H757" s="163"/>
    </row>
    <row r="758" spans="4:8" ht="11.25" customHeight="1">
      <c r="D758" s="163"/>
      <c r="E758" s="163"/>
      <c r="F758" s="163"/>
      <c r="G758" s="163"/>
      <c r="H758" s="163"/>
    </row>
    <row r="759" spans="4:8" ht="11.25" customHeight="1">
      <c r="D759" s="163"/>
      <c r="E759" s="163"/>
      <c r="F759" s="163"/>
      <c r="G759" s="163"/>
      <c r="H759" s="163"/>
    </row>
    <row r="760" spans="4:8" ht="11.25" customHeight="1">
      <c r="D760" s="163"/>
      <c r="E760" s="163"/>
      <c r="F760" s="163"/>
      <c r="G760" s="163"/>
      <c r="H760" s="163"/>
    </row>
    <row r="761" spans="4:8" ht="11.25" customHeight="1">
      <c r="D761" s="163"/>
      <c r="E761" s="163"/>
      <c r="F761" s="163"/>
      <c r="G761" s="163"/>
      <c r="H761" s="163"/>
    </row>
    <row r="762" spans="4:8" ht="11.25" customHeight="1">
      <c r="D762" s="163"/>
      <c r="E762" s="163"/>
      <c r="F762" s="163"/>
      <c r="G762" s="163"/>
      <c r="H762" s="163"/>
    </row>
    <row r="763" spans="4:8" ht="11.25" customHeight="1">
      <c r="D763" s="163"/>
      <c r="E763" s="163"/>
      <c r="F763" s="163"/>
      <c r="G763" s="163"/>
      <c r="H763" s="163"/>
    </row>
    <row r="764" spans="4:8" ht="11.25" customHeight="1">
      <c r="D764" s="163"/>
      <c r="E764" s="163"/>
      <c r="F764" s="163"/>
      <c r="G764" s="163"/>
      <c r="H764" s="163"/>
    </row>
    <row r="765" spans="4:8" ht="11.25" customHeight="1">
      <c r="D765" s="163"/>
      <c r="E765" s="163"/>
      <c r="F765" s="163"/>
      <c r="G765" s="163"/>
      <c r="H765" s="163"/>
    </row>
    <row r="766" spans="4:8" ht="11.25" customHeight="1">
      <c r="D766" s="163"/>
      <c r="E766" s="163"/>
      <c r="F766" s="163"/>
      <c r="G766" s="163"/>
      <c r="H766" s="163"/>
    </row>
    <row r="767" spans="4:8" ht="11.25" customHeight="1">
      <c r="D767" s="163"/>
      <c r="E767" s="163"/>
      <c r="F767" s="163"/>
      <c r="G767" s="163"/>
      <c r="H767" s="163"/>
    </row>
    <row r="768" spans="4:8" ht="11.25" customHeight="1">
      <c r="D768" s="163"/>
      <c r="E768" s="163"/>
      <c r="F768" s="163"/>
      <c r="G768" s="163"/>
      <c r="H768" s="163"/>
    </row>
    <row r="769" spans="4:8" ht="11.25" customHeight="1">
      <c r="D769" s="163"/>
      <c r="E769" s="163"/>
      <c r="F769" s="163"/>
      <c r="G769" s="163"/>
      <c r="H769" s="163"/>
    </row>
    <row r="770" spans="4:8" ht="11.25" customHeight="1">
      <c r="D770" s="163"/>
      <c r="E770" s="163"/>
      <c r="F770" s="163"/>
      <c r="G770" s="163"/>
      <c r="H770" s="163"/>
    </row>
    <row r="771" spans="4:8" ht="11.25" customHeight="1">
      <c r="D771" s="163"/>
      <c r="E771" s="163"/>
      <c r="F771" s="163"/>
      <c r="G771" s="163"/>
      <c r="H771" s="163"/>
    </row>
    <row r="772" spans="4:8" ht="11.25" customHeight="1">
      <c r="D772" s="163"/>
      <c r="E772" s="163"/>
      <c r="F772" s="163"/>
      <c r="G772" s="163"/>
      <c r="H772" s="163"/>
    </row>
    <row r="773" spans="4:8" ht="11.25" customHeight="1">
      <c r="D773" s="163"/>
      <c r="E773" s="163"/>
      <c r="F773" s="163"/>
      <c r="G773" s="163"/>
      <c r="H773" s="163"/>
    </row>
    <row r="774" spans="4:8" ht="11.25" customHeight="1">
      <c r="D774" s="163"/>
      <c r="E774" s="163"/>
      <c r="F774" s="163"/>
      <c r="G774" s="163"/>
      <c r="H774" s="163"/>
    </row>
    <row r="775" spans="4:8" ht="11.25" customHeight="1">
      <c r="D775" s="163"/>
      <c r="E775" s="163"/>
      <c r="F775" s="163"/>
      <c r="G775" s="163"/>
      <c r="H775" s="163"/>
    </row>
    <row r="776" spans="4:8" ht="11.25" customHeight="1">
      <c r="D776" s="163"/>
      <c r="E776" s="163"/>
      <c r="F776" s="163"/>
      <c r="G776" s="163"/>
      <c r="H776" s="163"/>
    </row>
    <row r="777" spans="4:8" ht="11.25" customHeight="1">
      <c r="D777" s="163"/>
      <c r="E777" s="163"/>
      <c r="F777" s="163"/>
      <c r="G777" s="163"/>
      <c r="H777" s="163"/>
    </row>
    <row r="778" spans="4:8" ht="11.25" customHeight="1">
      <c r="D778" s="163"/>
      <c r="E778" s="163"/>
      <c r="F778" s="163"/>
      <c r="G778" s="163"/>
      <c r="H778" s="163"/>
    </row>
    <row r="779" spans="4:8" ht="11.25" customHeight="1">
      <c r="D779" s="163"/>
      <c r="E779" s="163"/>
      <c r="F779" s="163"/>
      <c r="G779" s="163"/>
      <c r="H779" s="163"/>
    </row>
    <row r="780" spans="4:8" ht="11.25" customHeight="1">
      <c r="D780" s="163"/>
      <c r="E780" s="163"/>
      <c r="F780" s="163"/>
      <c r="G780" s="163"/>
      <c r="H780" s="163"/>
    </row>
    <row r="781" spans="4:8" ht="11.25" customHeight="1">
      <c r="D781" s="163"/>
      <c r="E781" s="163"/>
      <c r="F781" s="163"/>
      <c r="G781" s="163"/>
      <c r="H781" s="163"/>
    </row>
    <row r="782" spans="4:8" ht="11.25" customHeight="1">
      <c r="D782" s="163"/>
      <c r="E782" s="163"/>
      <c r="F782" s="163"/>
      <c r="G782" s="163"/>
      <c r="H782" s="163"/>
    </row>
    <row r="783" spans="4:8" ht="11.25" customHeight="1">
      <c r="D783" s="163"/>
      <c r="E783" s="163"/>
      <c r="F783" s="163"/>
      <c r="G783" s="163"/>
      <c r="H783" s="163"/>
    </row>
    <row r="784" spans="4:8" ht="11.25" customHeight="1">
      <c r="D784" s="163"/>
      <c r="E784" s="163"/>
      <c r="F784" s="163"/>
      <c r="G784" s="163"/>
      <c r="H784" s="163"/>
    </row>
    <row r="785" spans="4:8" ht="11.25" customHeight="1">
      <c r="D785" s="163"/>
      <c r="E785" s="163"/>
      <c r="F785" s="163"/>
      <c r="G785" s="163"/>
      <c r="H785" s="163"/>
    </row>
    <row r="786" spans="4:8" ht="11.25" customHeight="1">
      <c r="D786" s="163"/>
      <c r="E786" s="163"/>
      <c r="F786" s="163"/>
      <c r="G786" s="163"/>
      <c r="H786" s="163"/>
    </row>
    <row r="787" spans="4:8" ht="11.25" customHeight="1">
      <c r="D787" s="163"/>
      <c r="E787" s="163"/>
      <c r="F787" s="163"/>
      <c r="G787" s="163"/>
      <c r="H787" s="163"/>
    </row>
    <row r="788" spans="4:8" ht="11.25" customHeight="1">
      <c r="D788" s="163"/>
      <c r="E788" s="163"/>
      <c r="F788" s="163"/>
      <c r="G788" s="163"/>
      <c r="H788" s="163"/>
    </row>
    <row r="789" spans="4:8" ht="11.25" customHeight="1">
      <c r="D789" s="163"/>
      <c r="E789" s="163"/>
      <c r="F789" s="163"/>
      <c r="G789" s="163"/>
      <c r="H789" s="163"/>
    </row>
    <row r="790" spans="4:8" ht="11.25" customHeight="1">
      <c r="D790" s="163"/>
      <c r="E790" s="163"/>
      <c r="F790" s="163"/>
      <c r="G790" s="163"/>
      <c r="H790" s="163"/>
    </row>
    <row r="791" spans="4:8" ht="11.25" customHeight="1">
      <c r="D791" s="163"/>
      <c r="E791" s="163"/>
      <c r="F791" s="163"/>
      <c r="G791" s="163"/>
      <c r="H791" s="163"/>
    </row>
    <row r="792" spans="4:8" ht="11.25" customHeight="1">
      <c r="D792" s="163"/>
      <c r="E792" s="163"/>
      <c r="F792" s="163"/>
      <c r="G792" s="163"/>
      <c r="H792" s="163"/>
    </row>
    <row r="793" spans="4:8" ht="11.25" customHeight="1">
      <c r="D793" s="163"/>
      <c r="E793" s="163"/>
      <c r="F793" s="163"/>
      <c r="G793" s="163"/>
      <c r="H793" s="163"/>
    </row>
    <row r="794" spans="4:8" ht="11.25" customHeight="1">
      <c r="D794" s="163"/>
      <c r="E794" s="163"/>
      <c r="F794" s="163"/>
      <c r="G794" s="163"/>
      <c r="H794" s="163"/>
    </row>
    <row r="795" spans="4:8" ht="11.25" customHeight="1">
      <c r="D795" s="163"/>
      <c r="E795" s="163"/>
      <c r="F795" s="163"/>
      <c r="G795" s="163"/>
      <c r="H795" s="163"/>
    </row>
    <row r="796" spans="4:8" ht="11.25" customHeight="1">
      <c r="D796" s="163"/>
      <c r="E796" s="163"/>
      <c r="F796" s="163"/>
      <c r="G796" s="163"/>
      <c r="H796" s="163"/>
    </row>
    <row r="797" spans="4:8" ht="11.25" customHeight="1">
      <c r="D797" s="163"/>
      <c r="E797" s="163"/>
      <c r="F797" s="163"/>
      <c r="G797" s="163"/>
      <c r="H797" s="163"/>
    </row>
    <row r="798" spans="4:8" ht="11.25" customHeight="1">
      <c r="D798" s="163"/>
      <c r="E798" s="163"/>
      <c r="F798" s="163"/>
      <c r="G798" s="163"/>
      <c r="H798" s="163"/>
    </row>
    <row r="799" spans="4:8" ht="11.25" customHeight="1">
      <c r="D799" s="163"/>
      <c r="E799" s="163"/>
      <c r="F799" s="163"/>
      <c r="G799" s="163"/>
      <c r="H799" s="163"/>
    </row>
    <row r="800" spans="4:8" ht="11.25" customHeight="1">
      <c r="D800" s="163"/>
      <c r="E800" s="163"/>
      <c r="F800" s="163"/>
      <c r="G800" s="163"/>
      <c r="H800" s="163"/>
    </row>
    <row r="801" spans="4:8" ht="11.25" customHeight="1">
      <c r="D801" s="163"/>
      <c r="E801" s="163"/>
      <c r="F801" s="163"/>
      <c r="G801" s="163"/>
      <c r="H801" s="163"/>
    </row>
    <row r="802" spans="4:8" ht="11.25" customHeight="1">
      <c r="D802" s="163"/>
      <c r="E802" s="163"/>
      <c r="F802" s="163"/>
      <c r="G802" s="163"/>
      <c r="H802" s="163"/>
    </row>
    <row r="803" spans="4:8" ht="11.25" customHeight="1">
      <c r="D803" s="163"/>
      <c r="E803" s="163"/>
      <c r="F803" s="163"/>
      <c r="G803" s="163"/>
      <c r="H803" s="163"/>
    </row>
    <row r="804" spans="4:8" ht="11.25" customHeight="1">
      <c r="D804" s="163"/>
      <c r="E804" s="163"/>
      <c r="F804" s="163"/>
      <c r="G804" s="163"/>
      <c r="H804" s="163"/>
    </row>
    <row r="805" spans="4:8" ht="11.25" customHeight="1">
      <c r="D805" s="163"/>
      <c r="E805" s="163"/>
      <c r="F805" s="163"/>
      <c r="G805" s="163"/>
      <c r="H805" s="163"/>
    </row>
    <row r="806" spans="4:8" ht="11.25" customHeight="1">
      <c r="D806" s="163"/>
      <c r="E806" s="163"/>
      <c r="F806" s="163"/>
      <c r="G806" s="163"/>
      <c r="H806" s="163"/>
    </row>
    <row r="807" spans="4:8" ht="11.25" customHeight="1">
      <c r="D807" s="163"/>
      <c r="E807" s="163"/>
      <c r="F807" s="163"/>
      <c r="G807" s="163"/>
      <c r="H807" s="163"/>
    </row>
    <row r="808" spans="4:8" ht="11.25" customHeight="1">
      <c r="D808" s="163"/>
      <c r="E808" s="163"/>
      <c r="F808" s="163"/>
      <c r="G808" s="163"/>
      <c r="H808" s="163"/>
    </row>
    <row r="809" spans="4:8" ht="11.25" customHeight="1">
      <c r="D809" s="163"/>
      <c r="E809" s="163"/>
      <c r="F809" s="163"/>
      <c r="G809" s="163"/>
      <c r="H809" s="163"/>
    </row>
    <row r="810" spans="4:8" ht="11.25" customHeight="1">
      <c r="D810" s="163"/>
      <c r="E810" s="163"/>
      <c r="F810" s="163"/>
      <c r="G810" s="163"/>
      <c r="H810" s="163"/>
    </row>
    <row r="811" spans="4:8" ht="11.25" customHeight="1">
      <c r="D811" s="163"/>
      <c r="E811" s="163"/>
      <c r="F811" s="163"/>
      <c r="G811" s="163"/>
      <c r="H811" s="163"/>
    </row>
    <row r="812" spans="4:8" ht="11.25" customHeight="1">
      <c r="D812" s="163"/>
      <c r="E812" s="163"/>
      <c r="F812" s="163"/>
      <c r="G812" s="163"/>
      <c r="H812" s="163"/>
    </row>
    <row r="813" spans="4:8" ht="11.25" customHeight="1">
      <c r="D813" s="163"/>
      <c r="E813" s="163"/>
      <c r="F813" s="163"/>
      <c r="G813" s="163"/>
      <c r="H813" s="163"/>
    </row>
    <row r="814" spans="4:8" ht="11.25" customHeight="1">
      <c r="D814" s="163"/>
      <c r="E814" s="163"/>
      <c r="F814" s="163"/>
      <c r="G814" s="163"/>
      <c r="H814" s="163"/>
    </row>
    <row r="815" spans="4:8" ht="11.25" customHeight="1">
      <c r="D815" s="163"/>
      <c r="E815" s="163"/>
      <c r="F815" s="163"/>
      <c r="G815" s="163"/>
      <c r="H815" s="163"/>
    </row>
    <row r="816" spans="4:8" ht="11.25" customHeight="1">
      <c r="D816" s="163"/>
      <c r="E816" s="163"/>
      <c r="F816" s="163"/>
      <c r="G816" s="163"/>
      <c r="H816" s="163"/>
    </row>
    <row r="817" spans="4:8" ht="11.25" customHeight="1">
      <c r="D817" s="163"/>
      <c r="E817" s="163"/>
      <c r="F817" s="163"/>
      <c r="G817" s="163"/>
      <c r="H817" s="163"/>
    </row>
    <row r="818" spans="4:8" ht="11.25" customHeight="1">
      <c r="D818" s="163"/>
      <c r="E818" s="163"/>
      <c r="F818" s="163"/>
      <c r="G818" s="163"/>
      <c r="H818" s="163"/>
    </row>
    <row r="819" spans="4:8" ht="11.25" customHeight="1">
      <c r="D819" s="163"/>
      <c r="E819" s="163"/>
      <c r="F819" s="163"/>
      <c r="G819" s="163"/>
      <c r="H819" s="163"/>
    </row>
    <row r="820" spans="4:8" ht="11.25" customHeight="1">
      <c r="D820" s="163"/>
      <c r="E820" s="163"/>
      <c r="F820" s="163"/>
      <c r="G820" s="163"/>
      <c r="H820" s="163"/>
    </row>
    <row r="821" spans="4:8" ht="11.25" customHeight="1">
      <c r="D821" s="163"/>
      <c r="E821" s="163"/>
      <c r="F821" s="163"/>
      <c r="G821" s="163"/>
      <c r="H821" s="163"/>
    </row>
    <row r="822" spans="4:8" ht="11.25" customHeight="1">
      <c r="D822" s="163"/>
      <c r="E822" s="163"/>
      <c r="F822" s="163"/>
      <c r="G822" s="163"/>
      <c r="H822" s="163"/>
    </row>
    <row r="823" spans="4:8" ht="11.25" customHeight="1">
      <c r="D823" s="163"/>
      <c r="E823" s="163"/>
      <c r="F823" s="163"/>
      <c r="G823" s="163"/>
      <c r="H823" s="163"/>
    </row>
    <row r="824" spans="4:8" ht="11.25" customHeight="1">
      <c r="D824" s="163"/>
      <c r="E824" s="163"/>
      <c r="F824" s="163"/>
      <c r="G824" s="163"/>
      <c r="H824" s="163"/>
    </row>
    <row r="825" spans="4:8" ht="11.25" customHeight="1">
      <c r="D825" s="163"/>
      <c r="E825" s="163"/>
      <c r="F825" s="163"/>
      <c r="G825" s="163"/>
      <c r="H825" s="163"/>
    </row>
    <row r="826" spans="4:8" ht="11.25" customHeight="1">
      <c r="D826" s="163"/>
      <c r="E826" s="163"/>
      <c r="F826" s="163"/>
      <c r="G826" s="163"/>
      <c r="H826" s="163"/>
    </row>
    <row r="827" spans="4:8" ht="11.25" customHeight="1">
      <c r="D827" s="163"/>
      <c r="E827" s="163"/>
      <c r="F827" s="163"/>
      <c r="G827" s="163"/>
      <c r="H827" s="163"/>
    </row>
    <row r="828" spans="4:8" ht="11.25" customHeight="1">
      <c r="D828" s="163"/>
      <c r="E828" s="163"/>
      <c r="F828" s="163"/>
      <c r="G828" s="163"/>
      <c r="H828" s="163"/>
    </row>
    <row r="829" spans="4:8" ht="11.25" customHeight="1">
      <c r="D829" s="163"/>
      <c r="E829" s="163"/>
      <c r="F829" s="163"/>
      <c r="G829" s="163"/>
      <c r="H829" s="163"/>
    </row>
    <row r="830" spans="4:8" ht="11.25" customHeight="1">
      <c r="D830" s="163"/>
      <c r="E830" s="163"/>
      <c r="F830" s="163"/>
      <c r="G830" s="163"/>
      <c r="H830" s="163"/>
    </row>
    <row r="831" spans="4:8" ht="11.25" customHeight="1">
      <c r="D831" s="163"/>
      <c r="E831" s="163"/>
      <c r="F831" s="163"/>
      <c r="G831" s="163"/>
      <c r="H831" s="163"/>
    </row>
    <row r="832" spans="4:8" ht="11.25" customHeight="1">
      <c r="D832" s="163"/>
      <c r="E832" s="163"/>
      <c r="F832" s="163"/>
      <c r="G832" s="163"/>
      <c r="H832" s="163"/>
    </row>
    <row r="833" spans="4:8" ht="11.25" customHeight="1">
      <c r="D833" s="163"/>
      <c r="E833" s="163"/>
      <c r="F833" s="163"/>
      <c r="G833" s="163"/>
      <c r="H833" s="163"/>
    </row>
    <row r="834" spans="4:8" ht="11.25" customHeight="1">
      <c r="D834" s="163"/>
      <c r="E834" s="163"/>
      <c r="F834" s="163"/>
      <c r="G834" s="163"/>
      <c r="H834" s="163"/>
    </row>
    <row r="835" spans="4:8" ht="11.25" customHeight="1">
      <c r="D835" s="163"/>
      <c r="E835" s="163"/>
      <c r="F835" s="163"/>
      <c r="G835" s="163"/>
      <c r="H835" s="163"/>
    </row>
    <row r="836" spans="4:8" ht="11.25" customHeight="1">
      <c r="D836" s="163"/>
      <c r="E836" s="163"/>
      <c r="F836" s="163"/>
      <c r="G836" s="163"/>
      <c r="H836" s="163"/>
    </row>
    <row r="837" spans="4:8" ht="11.25" customHeight="1">
      <c r="D837" s="163"/>
      <c r="E837" s="163"/>
      <c r="F837" s="163"/>
      <c r="G837" s="163"/>
      <c r="H837" s="163"/>
    </row>
    <row r="838" spans="4:8" ht="11.25" customHeight="1">
      <c r="D838" s="163"/>
      <c r="E838" s="163"/>
      <c r="F838" s="163"/>
      <c r="G838" s="163"/>
      <c r="H838" s="163"/>
    </row>
    <row r="839" spans="4:8" ht="11.25" customHeight="1">
      <c r="D839" s="163"/>
      <c r="E839" s="163"/>
      <c r="F839" s="163"/>
      <c r="G839" s="163"/>
      <c r="H839" s="163"/>
    </row>
    <row r="840" spans="4:8" ht="11.25" customHeight="1">
      <c r="D840" s="163"/>
      <c r="E840" s="163"/>
      <c r="F840" s="163"/>
      <c r="G840" s="163"/>
      <c r="H840" s="163"/>
    </row>
    <row r="841" spans="4:8" ht="11.25" customHeight="1">
      <c r="D841" s="163"/>
      <c r="E841" s="163"/>
      <c r="F841" s="163"/>
      <c r="G841" s="163"/>
      <c r="H841" s="163"/>
    </row>
    <row r="842" spans="4:8" ht="11.25" customHeight="1">
      <c r="D842" s="163"/>
      <c r="E842" s="163"/>
      <c r="F842" s="163"/>
      <c r="G842" s="163"/>
      <c r="H842" s="163"/>
    </row>
    <row r="843" spans="4:8" ht="11.25" customHeight="1">
      <c r="D843" s="163"/>
      <c r="E843" s="163"/>
      <c r="F843" s="163"/>
      <c r="G843" s="163"/>
      <c r="H843" s="163"/>
    </row>
    <row r="844" spans="4:8" ht="11.25" customHeight="1">
      <c r="D844" s="163"/>
      <c r="E844" s="163"/>
      <c r="F844" s="163"/>
      <c r="G844" s="163"/>
      <c r="H844" s="163"/>
    </row>
    <row r="845" spans="4:8" ht="11.25" customHeight="1">
      <c r="D845" s="163"/>
      <c r="E845" s="163"/>
      <c r="F845" s="163"/>
      <c r="G845" s="163"/>
      <c r="H845" s="163"/>
    </row>
    <row r="846" spans="4:8" ht="11.25" customHeight="1">
      <c r="D846" s="163"/>
      <c r="E846" s="163"/>
      <c r="F846" s="163"/>
      <c r="G846" s="163"/>
      <c r="H846" s="163"/>
    </row>
    <row r="847" spans="4:8" ht="11.25" customHeight="1">
      <c r="D847" s="163"/>
      <c r="E847" s="163"/>
      <c r="F847" s="163"/>
      <c r="G847" s="163"/>
      <c r="H847" s="163"/>
    </row>
    <row r="848" spans="4:8" ht="11.25" customHeight="1">
      <c r="D848" s="163"/>
      <c r="E848" s="163"/>
      <c r="F848" s="163"/>
      <c r="G848" s="163"/>
      <c r="H848" s="163"/>
    </row>
    <row r="849" spans="4:8" ht="11.25" customHeight="1">
      <c r="D849" s="163"/>
      <c r="E849" s="163"/>
      <c r="F849" s="163"/>
      <c r="G849" s="163"/>
      <c r="H849" s="163"/>
    </row>
    <row r="850" spans="4:8" ht="11.25" customHeight="1">
      <c r="D850" s="163"/>
      <c r="E850" s="163"/>
      <c r="F850" s="163"/>
      <c r="G850" s="163"/>
      <c r="H850" s="163"/>
    </row>
    <row r="851" spans="4:8" ht="11.25" customHeight="1">
      <c r="D851" s="163"/>
      <c r="E851" s="163"/>
      <c r="F851" s="163"/>
      <c r="G851" s="163"/>
      <c r="H851" s="163"/>
    </row>
    <row r="852" spans="4:8" ht="11.25" customHeight="1">
      <c r="D852" s="163"/>
      <c r="E852" s="163"/>
      <c r="F852" s="163"/>
      <c r="G852" s="163"/>
      <c r="H852" s="163"/>
    </row>
    <row r="853" spans="4:8" ht="11.25" customHeight="1">
      <c r="D853" s="163"/>
      <c r="E853" s="163"/>
      <c r="F853" s="163"/>
      <c r="G853" s="163"/>
      <c r="H853" s="163"/>
    </row>
    <row r="854" spans="4:8" ht="11.25" customHeight="1">
      <c r="D854" s="163"/>
      <c r="E854" s="163"/>
      <c r="F854" s="163"/>
      <c r="G854" s="163"/>
      <c r="H854" s="163"/>
    </row>
    <row r="855" spans="4:8" ht="11.25" customHeight="1">
      <c r="D855" s="163"/>
      <c r="E855" s="163"/>
      <c r="F855" s="163"/>
      <c r="G855" s="163"/>
      <c r="H855" s="163"/>
    </row>
    <row r="856" spans="4:8" ht="11.25" customHeight="1">
      <c r="D856" s="163"/>
      <c r="E856" s="163"/>
      <c r="F856" s="163"/>
      <c r="G856" s="163"/>
      <c r="H856" s="163"/>
    </row>
    <row r="857" spans="4:8" ht="11.25" customHeight="1">
      <c r="D857" s="163"/>
      <c r="E857" s="163"/>
      <c r="F857" s="163"/>
      <c r="G857" s="163"/>
      <c r="H857" s="163"/>
    </row>
    <row r="858" spans="4:8" ht="11.25" customHeight="1">
      <c r="D858" s="163"/>
      <c r="E858" s="163"/>
      <c r="F858" s="163"/>
      <c r="G858" s="163"/>
      <c r="H858" s="163"/>
    </row>
    <row r="859" spans="4:8" ht="11.25" customHeight="1">
      <c r="D859" s="163"/>
      <c r="E859" s="163"/>
      <c r="F859" s="163"/>
      <c r="G859" s="163"/>
      <c r="H859" s="163"/>
    </row>
    <row r="860" spans="4:8" ht="11.25" customHeight="1">
      <c r="D860" s="163"/>
      <c r="E860" s="163"/>
      <c r="F860" s="163"/>
      <c r="G860" s="163"/>
      <c r="H860" s="163"/>
    </row>
    <row r="861" spans="4:8" ht="11.25" customHeight="1">
      <c r="D861" s="163"/>
      <c r="E861" s="163"/>
      <c r="F861" s="163"/>
      <c r="G861" s="163"/>
      <c r="H861" s="163"/>
    </row>
    <row r="862" spans="4:8" ht="11.25" customHeight="1">
      <c r="D862" s="163"/>
      <c r="E862" s="163"/>
      <c r="F862" s="163"/>
      <c r="G862" s="163"/>
      <c r="H862" s="163"/>
    </row>
    <row r="863" spans="4:8" ht="11.25" customHeight="1">
      <c r="D863" s="163"/>
      <c r="E863" s="163"/>
      <c r="F863" s="163"/>
      <c r="G863" s="163"/>
      <c r="H863" s="163"/>
    </row>
    <row r="864" spans="4:8" ht="11.25" customHeight="1">
      <c r="D864" s="163"/>
      <c r="E864" s="163"/>
      <c r="F864" s="163"/>
      <c r="G864" s="163"/>
      <c r="H864" s="163"/>
    </row>
    <row r="865" spans="4:8" ht="11.25" customHeight="1">
      <c r="D865" s="163"/>
      <c r="E865" s="163"/>
      <c r="F865" s="163"/>
      <c r="G865" s="163"/>
      <c r="H865" s="163"/>
    </row>
    <row r="866" spans="4:8" ht="11.25" customHeight="1">
      <c r="D866" s="163"/>
      <c r="E866" s="163"/>
      <c r="F866" s="163"/>
      <c r="G866" s="163"/>
      <c r="H866" s="163"/>
    </row>
    <row r="867" spans="4:8" ht="11.25" customHeight="1">
      <c r="D867" s="163"/>
      <c r="E867" s="163"/>
      <c r="F867" s="163"/>
      <c r="G867" s="163"/>
      <c r="H867" s="163"/>
    </row>
    <row r="868" spans="4:8" ht="11.25" customHeight="1">
      <c r="D868" s="163"/>
      <c r="E868" s="163"/>
      <c r="F868" s="163"/>
      <c r="G868" s="163"/>
      <c r="H868" s="163"/>
    </row>
    <row r="869" spans="4:8" ht="11.25" customHeight="1">
      <c r="D869" s="163"/>
      <c r="E869" s="163"/>
      <c r="F869" s="163"/>
      <c r="G869" s="163"/>
      <c r="H869" s="163"/>
    </row>
    <row r="870" spans="4:8" ht="11.25" customHeight="1">
      <c r="D870" s="163"/>
      <c r="E870" s="163"/>
      <c r="F870" s="163"/>
      <c r="G870" s="163"/>
      <c r="H870" s="163"/>
    </row>
    <row r="871" spans="4:8" ht="11.25" customHeight="1">
      <c r="D871" s="163"/>
      <c r="E871" s="163"/>
      <c r="F871" s="163"/>
      <c r="G871" s="163"/>
      <c r="H871" s="163"/>
    </row>
    <row r="872" spans="4:8" ht="11.25" customHeight="1">
      <c r="D872" s="163"/>
      <c r="E872" s="163"/>
      <c r="F872" s="163"/>
      <c r="G872" s="163"/>
      <c r="H872" s="163"/>
    </row>
    <row r="873" spans="4:8" ht="11.25" customHeight="1">
      <c r="D873" s="163"/>
      <c r="E873" s="163"/>
      <c r="F873" s="163"/>
      <c r="G873" s="163"/>
      <c r="H873" s="163"/>
    </row>
    <row r="874" spans="4:8" ht="11.25" customHeight="1">
      <c r="D874" s="163"/>
      <c r="E874" s="163"/>
      <c r="F874" s="163"/>
      <c r="G874" s="163"/>
      <c r="H874" s="163"/>
    </row>
    <row r="875" spans="4:8" ht="11.25" customHeight="1">
      <c r="D875" s="163"/>
      <c r="E875" s="163"/>
      <c r="F875" s="163"/>
      <c r="G875" s="163"/>
      <c r="H875" s="163"/>
    </row>
    <row r="876" spans="4:8" ht="11.25" customHeight="1">
      <c r="D876" s="163"/>
      <c r="E876" s="163"/>
      <c r="F876" s="163"/>
      <c r="G876" s="163"/>
      <c r="H876" s="163"/>
    </row>
    <row r="877" spans="4:8" ht="11.25" customHeight="1">
      <c r="D877" s="163"/>
      <c r="E877" s="163"/>
      <c r="F877" s="163"/>
      <c r="G877" s="163"/>
      <c r="H877" s="163"/>
    </row>
    <row r="878" spans="4:8" ht="11.25" customHeight="1">
      <c r="D878" s="163"/>
      <c r="E878" s="163"/>
      <c r="F878" s="163"/>
      <c r="G878" s="163"/>
      <c r="H878" s="163"/>
    </row>
    <row r="879" spans="4:8" ht="11.25" customHeight="1">
      <c r="D879" s="163"/>
      <c r="E879" s="163"/>
      <c r="F879" s="163"/>
      <c r="G879" s="163"/>
      <c r="H879" s="163"/>
    </row>
    <row r="880" spans="4:8" ht="11.25" customHeight="1">
      <c r="D880" s="163"/>
      <c r="E880" s="163"/>
      <c r="F880" s="163"/>
      <c r="G880" s="163"/>
      <c r="H880" s="163"/>
    </row>
    <row r="881" spans="4:8" ht="11.25" customHeight="1">
      <c r="D881" s="163"/>
      <c r="E881" s="163"/>
      <c r="F881" s="163"/>
      <c r="G881" s="163"/>
      <c r="H881" s="163"/>
    </row>
    <row r="882" spans="4:8" ht="11.25" customHeight="1">
      <c r="D882" s="163"/>
      <c r="E882" s="163"/>
      <c r="F882" s="163"/>
      <c r="G882" s="163"/>
      <c r="H882" s="163"/>
    </row>
    <row r="883" spans="4:8" ht="11.25" customHeight="1">
      <c r="D883" s="163"/>
      <c r="E883" s="163"/>
      <c r="F883" s="163"/>
      <c r="G883" s="163"/>
      <c r="H883" s="163"/>
    </row>
    <row r="884" spans="4:8" ht="11.25" customHeight="1">
      <c r="D884" s="163"/>
      <c r="E884" s="163"/>
      <c r="F884" s="163"/>
      <c r="G884" s="163"/>
      <c r="H884" s="163"/>
    </row>
    <row r="885" spans="4:8" ht="11.25" customHeight="1">
      <c r="D885" s="163"/>
      <c r="E885" s="163"/>
      <c r="F885" s="163"/>
      <c r="G885" s="163"/>
      <c r="H885" s="163"/>
    </row>
    <row r="886" spans="4:8" ht="11.25" customHeight="1">
      <c r="D886" s="163"/>
      <c r="E886" s="163"/>
      <c r="F886" s="163"/>
      <c r="G886" s="163"/>
      <c r="H886" s="163"/>
    </row>
    <row r="887" spans="4:8" ht="11.25" customHeight="1">
      <c r="D887" s="163"/>
      <c r="E887" s="163"/>
      <c r="F887" s="163"/>
      <c r="G887" s="163"/>
      <c r="H887" s="163"/>
    </row>
    <row r="888" spans="4:8" ht="11.25" customHeight="1">
      <c r="D888" s="163"/>
      <c r="E888" s="163"/>
      <c r="F888" s="163"/>
      <c r="G888" s="163"/>
      <c r="H888" s="163"/>
    </row>
    <row r="889" spans="4:8" ht="11.25" customHeight="1">
      <c r="D889" s="163"/>
      <c r="E889" s="163"/>
      <c r="F889" s="163"/>
      <c r="G889" s="163"/>
      <c r="H889" s="163"/>
    </row>
    <row r="890" spans="4:8" ht="11.25" customHeight="1">
      <c r="D890" s="163"/>
      <c r="E890" s="163"/>
      <c r="F890" s="163"/>
      <c r="G890" s="163"/>
      <c r="H890" s="163"/>
    </row>
    <row r="891" spans="4:8" ht="11.25" customHeight="1">
      <c r="D891" s="163"/>
      <c r="E891" s="163"/>
      <c r="F891" s="163"/>
      <c r="G891" s="163"/>
      <c r="H891" s="163"/>
    </row>
    <row r="892" spans="4:8" ht="11.25" customHeight="1">
      <c r="D892" s="163"/>
      <c r="E892" s="163"/>
      <c r="F892" s="163"/>
      <c r="G892" s="163"/>
      <c r="H892" s="163"/>
    </row>
    <row r="893" spans="4:8" ht="11.25" customHeight="1">
      <c r="D893" s="163"/>
      <c r="E893" s="163"/>
      <c r="F893" s="163"/>
      <c r="G893" s="163"/>
      <c r="H893" s="163"/>
    </row>
    <row r="894" spans="4:8" ht="11.25" customHeight="1">
      <c r="D894" s="163"/>
      <c r="E894" s="163"/>
      <c r="F894" s="163"/>
      <c r="G894" s="163"/>
      <c r="H894" s="163"/>
    </row>
    <row r="895" spans="4:8" ht="11.25" customHeight="1">
      <c r="D895" s="163"/>
      <c r="E895" s="163"/>
      <c r="F895" s="163"/>
      <c r="G895" s="163"/>
      <c r="H895" s="163"/>
    </row>
    <row r="896" spans="4:8" ht="11.25" customHeight="1">
      <c r="D896" s="163"/>
      <c r="E896" s="163"/>
      <c r="F896" s="163"/>
      <c r="G896" s="163"/>
      <c r="H896" s="163"/>
    </row>
    <row r="897" spans="4:8" ht="11.25" customHeight="1">
      <c r="D897" s="163"/>
      <c r="E897" s="163"/>
      <c r="F897" s="163"/>
      <c r="G897" s="163"/>
      <c r="H897" s="163"/>
    </row>
    <row r="898" spans="4:8" ht="11.25" customHeight="1">
      <c r="D898" s="163"/>
      <c r="E898" s="163"/>
      <c r="F898" s="163"/>
      <c r="G898" s="163"/>
      <c r="H898" s="163"/>
    </row>
    <row r="899" spans="4:8" ht="11.25" customHeight="1">
      <c r="D899" s="163"/>
      <c r="E899" s="163"/>
      <c r="F899" s="163"/>
      <c r="G899" s="163"/>
      <c r="H899" s="163"/>
    </row>
    <row r="900" spans="4:8" ht="11.25" customHeight="1">
      <c r="D900" s="163"/>
      <c r="E900" s="163"/>
      <c r="F900" s="163"/>
      <c r="G900" s="163"/>
      <c r="H900" s="163"/>
    </row>
    <row r="901" spans="4:8" ht="11.25" customHeight="1">
      <c r="D901" s="163"/>
      <c r="E901" s="163"/>
      <c r="F901" s="163"/>
      <c r="G901" s="163"/>
      <c r="H901" s="163"/>
    </row>
    <row r="902" spans="4:8" ht="11.25" customHeight="1">
      <c r="D902" s="163"/>
      <c r="E902" s="163"/>
      <c r="F902" s="163"/>
      <c r="G902" s="163"/>
      <c r="H902" s="163"/>
    </row>
    <row r="903" spans="4:8" ht="11.25" customHeight="1">
      <c r="D903" s="163"/>
      <c r="E903" s="163"/>
      <c r="F903" s="163"/>
      <c r="G903" s="163"/>
      <c r="H903" s="163"/>
    </row>
    <row r="904" spans="4:8" ht="11.25" customHeight="1">
      <c r="D904" s="163"/>
      <c r="E904" s="163"/>
      <c r="F904" s="163"/>
      <c r="G904" s="163"/>
      <c r="H904" s="163"/>
    </row>
    <row r="905" spans="4:8" ht="11.25" customHeight="1">
      <c r="D905" s="163"/>
      <c r="E905" s="163"/>
      <c r="F905" s="163"/>
      <c r="G905" s="163"/>
      <c r="H905" s="163"/>
    </row>
    <row r="906" spans="4:8" ht="11.25" customHeight="1">
      <c r="D906" s="163"/>
      <c r="E906" s="163"/>
      <c r="F906" s="163"/>
      <c r="G906" s="163"/>
      <c r="H906" s="163"/>
    </row>
    <row r="907" spans="4:8" ht="11.25" customHeight="1">
      <c r="D907" s="163"/>
      <c r="E907" s="163"/>
      <c r="F907" s="163"/>
      <c r="G907" s="163"/>
      <c r="H907" s="163"/>
    </row>
    <row r="908" spans="4:8" ht="11.25" customHeight="1">
      <c r="D908" s="163"/>
      <c r="E908" s="163"/>
      <c r="F908" s="163"/>
      <c r="G908" s="163"/>
      <c r="H908" s="163"/>
    </row>
    <row r="909" spans="4:8" ht="11.25" customHeight="1">
      <c r="D909" s="163"/>
      <c r="E909" s="163"/>
      <c r="F909" s="163"/>
      <c r="G909" s="163"/>
      <c r="H909" s="163"/>
    </row>
    <row r="910" spans="4:8" ht="11.25" customHeight="1">
      <c r="D910" s="163"/>
      <c r="E910" s="163"/>
      <c r="F910" s="163"/>
      <c r="G910" s="163"/>
      <c r="H910" s="163"/>
    </row>
    <row r="911" spans="4:8" ht="11.25" customHeight="1">
      <c r="D911" s="163"/>
      <c r="E911" s="163"/>
      <c r="F911" s="163"/>
      <c r="G911" s="163"/>
      <c r="H911" s="163"/>
    </row>
    <row r="912" spans="4:8" ht="11.25" customHeight="1">
      <c r="D912" s="163"/>
      <c r="E912" s="163"/>
      <c r="F912" s="163"/>
      <c r="G912" s="163"/>
      <c r="H912" s="163"/>
    </row>
    <row r="913" spans="4:8" ht="11.25" customHeight="1">
      <c r="D913" s="163"/>
      <c r="E913" s="163"/>
      <c r="F913" s="163"/>
      <c r="G913" s="163"/>
      <c r="H913" s="163"/>
    </row>
    <row r="914" spans="4:8" ht="11.25" customHeight="1">
      <c r="D914" s="163"/>
      <c r="E914" s="163"/>
      <c r="F914" s="163"/>
      <c r="G914" s="163"/>
      <c r="H914" s="163"/>
    </row>
    <row r="915" spans="4:8" ht="11.25" customHeight="1">
      <c r="D915" s="163"/>
      <c r="E915" s="163"/>
      <c r="F915" s="163"/>
      <c r="G915" s="163"/>
      <c r="H915" s="163"/>
    </row>
    <row r="916" spans="4:8" ht="11.25" customHeight="1">
      <c r="D916" s="163"/>
      <c r="E916" s="163"/>
      <c r="F916" s="163"/>
      <c r="G916" s="163"/>
      <c r="H916" s="163"/>
    </row>
    <row r="917" spans="4:8" ht="11.25" customHeight="1">
      <c r="D917" s="163"/>
      <c r="E917" s="163"/>
      <c r="F917" s="163"/>
      <c r="G917" s="163"/>
      <c r="H917" s="163"/>
    </row>
    <row r="918" spans="4:8" ht="11.25" customHeight="1">
      <c r="D918" s="163"/>
      <c r="E918" s="163"/>
      <c r="F918" s="163"/>
      <c r="G918" s="163"/>
      <c r="H918" s="163"/>
    </row>
    <row r="919" spans="4:8" ht="11.25" customHeight="1">
      <c r="D919" s="163"/>
      <c r="E919" s="163"/>
      <c r="F919" s="163"/>
      <c r="G919" s="163"/>
      <c r="H919" s="163"/>
    </row>
    <row r="920" spans="4:8" ht="11.25" customHeight="1">
      <c r="D920" s="163"/>
      <c r="E920" s="163"/>
      <c r="F920" s="163"/>
      <c r="G920" s="163"/>
      <c r="H920" s="163"/>
    </row>
    <row r="921" spans="4:8" ht="11.25" customHeight="1">
      <c r="D921" s="163"/>
      <c r="E921" s="163"/>
      <c r="F921" s="163"/>
      <c r="G921" s="163"/>
      <c r="H921" s="163"/>
    </row>
    <row r="922" spans="4:8" ht="11.25" customHeight="1">
      <c r="D922" s="163"/>
      <c r="E922" s="163"/>
      <c r="F922" s="163"/>
      <c r="G922" s="163"/>
      <c r="H922" s="163"/>
    </row>
    <row r="923" spans="4:8" ht="11.25" customHeight="1">
      <c r="D923" s="163"/>
      <c r="E923" s="163"/>
      <c r="F923" s="163"/>
      <c r="G923" s="163"/>
      <c r="H923" s="163"/>
    </row>
    <row r="924" spans="4:8" ht="11.25" customHeight="1">
      <c r="D924" s="163"/>
      <c r="E924" s="163"/>
      <c r="F924" s="163"/>
      <c r="G924" s="163"/>
      <c r="H924" s="163"/>
    </row>
    <row r="925" spans="4:8" ht="11.25" customHeight="1">
      <c r="D925" s="163"/>
      <c r="E925" s="163"/>
      <c r="F925" s="163"/>
      <c r="G925" s="163"/>
      <c r="H925" s="163"/>
    </row>
    <row r="926" spans="4:8" ht="11.25" customHeight="1">
      <c r="D926" s="163"/>
      <c r="E926" s="163"/>
      <c r="F926" s="163"/>
      <c r="G926" s="163"/>
      <c r="H926" s="163"/>
    </row>
    <row r="927" spans="4:8" ht="11.25" customHeight="1">
      <c r="D927" s="163"/>
      <c r="E927" s="163"/>
      <c r="F927" s="163"/>
      <c r="G927" s="163"/>
      <c r="H927" s="163"/>
    </row>
    <row r="928" spans="4:8" ht="11.25" customHeight="1">
      <c r="D928" s="163"/>
      <c r="E928" s="163"/>
      <c r="F928" s="163"/>
      <c r="G928" s="163"/>
      <c r="H928" s="163"/>
    </row>
    <row r="929" spans="4:8" ht="11.25" customHeight="1">
      <c r="D929" s="163"/>
      <c r="E929" s="163"/>
      <c r="F929" s="163"/>
      <c r="G929" s="163"/>
      <c r="H929" s="163"/>
    </row>
    <row r="930" spans="4:8" ht="11.25" customHeight="1">
      <c r="D930" s="163"/>
      <c r="E930" s="163"/>
      <c r="F930" s="163"/>
      <c r="G930" s="163"/>
      <c r="H930" s="163"/>
    </row>
    <row r="931" spans="4:8" ht="11.25" customHeight="1">
      <c r="D931" s="163"/>
      <c r="E931" s="163"/>
      <c r="F931" s="163"/>
      <c r="G931" s="163"/>
      <c r="H931" s="163"/>
    </row>
    <row r="932" spans="4:8" ht="11.25" customHeight="1">
      <c r="D932" s="163"/>
      <c r="E932" s="163"/>
      <c r="F932" s="163"/>
      <c r="G932" s="163"/>
      <c r="H932" s="163"/>
    </row>
    <row r="933" spans="4:8" ht="11.25" customHeight="1">
      <c r="D933" s="163"/>
      <c r="E933" s="163"/>
      <c r="F933" s="163"/>
      <c r="G933" s="163"/>
      <c r="H933" s="163"/>
    </row>
    <row r="934" spans="4:8" ht="11.25" customHeight="1">
      <c r="D934" s="163"/>
      <c r="E934" s="163"/>
      <c r="F934" s="163"/>
      <c r="G934" s="163"/>
      <c r="H934" s="163"/>
    </row>
    <row r="935" spans="4:8" ht="11.25" customHeight="1">
      <c r="D935" s="163"/>
      <c r="E935" s="163"/>
      <c r="F935" s="163"/>
      <c r="G935" s="163"/>
      <c r="H935" s="163"/>
    </row>
    <row r="936" spans="4:8" ht="11.25" customHeight="1">
      <c r="D936" s="163"/>
      <c r="E936" s="163"/>
      <c r="F936" s="163"/>
      <c r="G936" s="163"/>
      <c r="H936" s="163"/>
    </row>
    <row r="937" spans="4:8" ht="11.25" customHeight="1">
      <c r="D937" s="163"/>
      <c r="E937" s="163"/>
      <c r="F937" s="163"/>
      <c r="G937" s="163"/>
      <c r="H937" s="163"/>
    </row>
    <row r="938" spans="4:8" ht="11.25" customHeight="1">
      <c r="D938" s="163"/>
      <c r="E938" s="163"/>
      <c r="F938" s="163"/>
      <c r="G938" s="163"/>
      <c r="H938" s="163"/>
    </row>
    <row r="939" spans="4:8" ht="11.25" customHeight="1">
      <c r="D939" s="163"/>
      <c r="E939" s="163"/>
      <c r="F939" s="163"/>
      <c r="G939" s="163"/>
      <c r="H939" s="163"/>
    </row>
    <row r="940" spans="4:8" ht="11.25" customHeight="1">
      <c r="D940" s="163"/>
      <c r="E940" s="163"/>
      <c r="F940" s="163"/>
      <c r="G940" s="163"/>
      <c r="H940" s="163"/>
    </row>
    <row r="941" spans="4:8" ht="11.25" customHeight="1">
      <c r="D941" s="163"/>
      <c r="E941" s="163"/>
      <c r="F941" s="163"/>
      <c r="G941" s="163"/>
      <c r="H941" s="163"/>
    </row>
    <row r="942" spans="4:8" ht="11.25" customHeight="1">
      <c r="D942" s="163"/>
      <c r="E942" s="163"/>
      <c r="F942" s="163"/>
      <c r="G942" s="163"/>
      <c r="H942" s="163"/>
    </row>
    <row r="943" spans="4:8" ht="11.25" customHeight="1">
      <c r="D943" s="163"/>
      <c r="E943" s="163"/>
      <c r="F943" s="163"/>
      <c r="G943" s="163"/>
      <c r="H943" s="163"/>
    </row>
    <row r="944" spans="4:8" ht="11.25" customHeight="1">
      <c r="D944" s="163"/>
      <c r="E944" s="163"/>
      <c r="F944" s="163"/>
      <c r="G944" s="163"/>
      <c r="H944" s="163"/>
    </row>
    <row r="945" spans="4:8" ht="11.25" customHeight="1">
      <c r="D945" s="163"/>
      <c r="E945" s="163"/>
      <c r="F945" s="163"/>
      <c r="G945" s="163"/>
      <c r="H945" s="163"/>
    </row>
    <row r="946" spans="4:8" ht="11.25" customHeight="1">
      <c r="D946" s="163"/>
      <c r="E946" s="163"/>
      <c r="F946" s="163"/>
      <c r="G946" s="163"/>
      <c r="H946" s="163"/>
    </row>
    <row r="947" spans="4:8" ht="11.25" customHeight="1">
      <c r="D947" s="163"/>
      <c r="E947" s="163"/>
      <c r="F947" s="163"/>
      <c r="G947" s="163"/>
      <c r="H947" s="163"/>
    </row>
    <row r="948" spans="4:8" ht="11.25" customHeight="1">
      <c r="D948" s="163"/>
      <c r="E948" s="163"/>
      <c r="F948" s="163"/>
      <c r="G948" s="163"/>
      <c r="H948" s="163"/>
    </row>
    <row r="949" spans="4:8" ht="11.25" customHeight="1">
      <c r="D949" s="163"/>
      <c r="E949" s="163"/>
      <c r="F949" s="163"/>
      <c r="G949" s="163"/>
      <c r="H949" s="163"/>
    </row>
    <row r="950" spans="4:8" ht="11.25" customHeight="1">
      <c r="D950" s="163"/>
      <c r="E950" s="163"/>
      <c r="F950" s="163"/>
      <c r="G950" s="163"/>
      <c r="H950" s="163"/>
    </row>
    <row r="951" spans="4:8" ht="11.25" customHeight="1">
      <c r="D951" s="163"/>
      <c r="E951" s="163"/>
      <c r="F951" s="163"/>
      <c r="G951" s="163"/>
      <c r="H951" s="163"/>
    </row>
    <row r="952" spans="4:8" ht="11.25" customHeight="1">
      <c r="D952" s="163"/>
      <c r="E952" s="163"/>
      <c r="F952" s="163"/>
      <c r="G952" s="163"/>
      <c r="H952" s="163"/>
    </row>
    <row r="953" spans="4:8" ht="11.25" customHeight="1">
      <c r="D953" s="163"/>
      <c r="E953" s="163"/>
      <c r="F953" s="163"/>
      <c r="G953" s="163"/>
      <c r="H953" s="163"/>
    </row>
    <row r="954" spans="4:8" ht="11.25" customHeight="1">
      <c r="D954" s="163"/>
      <c r="E954" s="163"/>
      <c r="F954" s="163"/>
      <c r="G954" s="163"/>
      <c r="H954" s="163"/>
    </row>
    <row r="955" spans="4:8" ht="11.25" customHeight="1">
      <c r="D955" s="163"/>
      <c r="E955" s="163"/>
      <c r="F955" s="163"/>
      <c r="G955" s="163"/>
      <c r="H955" s="163"/>
    </row>
    <row r="956" spans="4:8" ht="11.25" customHeight="1">
      <c r="D956" s="163"/>
      <c r="E956" s="163"/>
      <c r="F956" s="163"/>
      <c r="G956" s="163"/>
      <c r="H956" s="163"/>
    </row>
    <row r="957" spans="4:8" ht="11.25" customHeight="1">
      <c r="D957" s="163"/>
      <c r="E957" s="163"/>
      <c r="F957" s="163"/>
      <c r="G957" s="163"/>
      <c r="H957" s="163"/>
    </row>
    <row r="958" spans="4:8" ht="11.25" customHeight="1">
      <c r="D958" s="163"/>
      <c r="E958" s="163"/>
      <c r="F958" s="163"/>
      <c r="G958" s="163"/>
      <c r="H958" s="163"/>
    </row>
    <row r="959" spans="4:8" ht="11.25" customHeight="1">
      <c r="D959" s="163"/>
      <c r="E959" s="163"/>
      <c r="F959" s="163"/>
      <c r="G959" s="163"/>
      <c r="H959" s="163"/>
    </row>
    <row r="960" spans="4:8" ht="11.25" customHeight="1">
      <c r="D960" s="163"/>
      <c r="E960" s="163"/>
      <c r="F960" s="163"/>
      <c r="G960" s="163"/>
      <c r="H960" s="163"/>
    </row>
    <row r="961" spans="4:8" ht="11.25" customHeight="1">
      <c r="D961" s="163"/>
      <c r="E961" s="163"/>
      <c r="F961" s="163"/>
      <c r="G961" s="163"/>
      <c r="H961" s="163"/>
    </row>
    <row r="962" spans="4:8" ht="11.25" customHeight="1">
      <c r="D962" s="163"/>
      <c r="E962" s="163"/>
      <c r="F962" s="163"/>
      <c r="G962" s="163"/>
      <c r="H962" s="163"/>
    </row>
    <row r="963" spans="4:8" ht="11.25" customHeight="1">
      <c r="D963" s="163"/>
      <c r="E963" s="163"/>
      <c r="F963" s="163"/>
      <c r="G963" s="163"/>
      <c r="H963" s="163"/>
    </row>
    <row r="964" spans="4:8" ht="11.25" customHeight="1">
      <c r="D964" s="163"/>
      <c r="E964" s="163"/>
      <c r="F964" s="163"/>
      <c r="G964" s="163"/>
      <c r="H964" s="163"/>
    </row>
    <row r="965" spans="4:8" ht="11.25" customHeight="1">
      <c r="D965" s="163"/>
      <c r="E965" s="163"/>
      <c r="F965" s="163"/>
      <c r="G965" s="163"/>
      <c r="H965" s="163"/>
    </row>
    <row r="966" spans="4:8" ht="11.25" customHeight="1">
      <c r="D966" s="163"/>
      <c r="E966" s="163"/>
      <c r="F966" s="163"/>
      <c r="G966" s="163"/>
      <c r="H966" s="163"/>
    </row>
    <row r="967" spans="4:8" ht="11.25" customHeight="1">
      <c r="D967" s="163"/>
      <c r="E967" s="163"/>
      <c r="F967" s="163"/>
      <c r="G967" s="163"/>
      <c r="H967" s="163"/>
    </row>
    <row r="968" spans="4:8" ht="11.25" customHeight="1">
      <c r="D968" s="163"/>
      <c r="E968" s="163"/>
      <c r="F968" s="163"/>
      <c r="G968" s="163"/>
      <c r="H968" s="163"/>
    </row>
    <row r="969" spans="4:8" ht="11.25" customHeight="1">
      <c r="D969" s="163"/>
      <c r="E969" s="163"/>
      <c r="F969" s="163"/>
      <c r="G969" s="163"/>
      <c r="H969" s="163"/>
    </row>
    <row r="970" spans="4:8" ht="11.25" customHeight="1">
      <c r="D970" s="163"/>
      <c r="E970" s="163"/>
      <c r="F970" s="163"/>
      <c r="G970" s="163"/>
      <c r="H970" s="163"/>
    </row>
    <row r="971" spans="4:8" ht="11.25" customHeight="1">
      <c r="D971" s="163"/>
      <c r="E971" s="163"/>
      <c r="F971" s="163"/>
      <c r="G971" s="163"/>
      <c r="H971" s="163"/>
    </row>
    <row r="972" spans="4:8" ht="11.25" customHeight="1">
      <c r="D972" s="163"/>
      <c r="E972" s="163"/>
      <c r="F972" s="163"/>
      <c r="G972" s="163"/>
      <c r="H972" s="163"/>
    </row>
    <row r="973" spans="4:8" ht="11.25" customHeight="1">
      <c r="D973" s="163"/>
      <c r="E973" s="163"/>
      <c r="F973" s="163"/>
      <c r="G973" s="163"/>
      <c r="H973" s="163"/>
    </row>
    <row r="974" spans="4:8" ht="11.25" customHeight="1">
      <c r="D974" s="163"/>
      <c r="E974" s="163"/>
      <c r="F974" s="163"/>
      <c r="G974" s="163"/>
      <c r="H974" s="163"/>
    </row>
    <row r="975" spans="4:8" ht="11.25" customHeight="1">
      <c r="D975" s="163"/>
      <c r="E975" s="163"/>
      <c r="F975" s="163"/>
      <c r="G975" s="163"/>
      <c r="H975" s="163"/>
    </row>
    <row r="976" spans="4:8" ht="11.25" customHeight="1">
      <c r="D976" s="163"/>
      <c r="E976" s="163"/>
      <c r="F976" s="163"/>
      <c r="G976" s="163"/>
      <c r="H976" s="163"/>
    </row>
    <row r="977" spans="4:8" ht="11.25" customHeight="1">
      <c r="D977" s="163"/>
      <c r="E977" s="163"/>
      <c r="F977" s="163"/>
      <c r="G977" s="163"/>
      <c r="H977" s="163"/>
    </row>
    <row r="978" spans="4:8" ht="11.25" customHeight="1">
      <c r="D978" s="163"/>
      <c r="E978" s="163"/>
      <c r="F978" s="163"/>
      <c r="G978" s="163"/>
      <c r="H978" s="163"/>
    </row>
    <row r="979" spans="4:8" ht="11.25" customHeight="1">
      <c r="D979" s="163"/>
      <c r="E979" s="163"/>
      <c r="F979" s="163"/>
      <c r="G979" s="163"/>
      <c r="H979" s="163"/>
    </row>
    <row r="980" spans="4:8" ht="11.25" customHeight="1">
      <c r="D980" s="163"/>
      <c r="E980" s="163"/>
      <c r="F980" s="163"/>
      <c r="G980" s="163"/>
      <c r="H980" s="163"/>
    </row>
    <row r="981" spans="4:8" ht="11.25" customHeight="1">
      <c r="D981" s="163"/>
      <c r="E981" s="163"/>
      <c r="F981" s="163"/>
      <c r="G981" s="163"/>
      <c r="H981" s="163"/>
    </row>
    <row r="982" spans="4:8" ht="11.25" customHeight="1">
      <c r="D982" s="163"/>
      <c r="E982" s="163"/>
      <c r="F982" s="163"/>
      <c r="G982" s="163"/>
      <c r="H982" s="163"/>
    </row>
    <row r="983" spans="4:8" ht="11.25" customHeight="1">
      <c r="D983" s="163"/>
      <c r="E983" s="163"/>
      <c r="F983" s="163"/>
      <c r="G983" s="163"/>
      <c r="H983" s="163"/>
    </row>
    <row r="984" spans="4:8" ht="11.25" customHeight="1">
      <c r="D984" s="163"/>
      <c r="E984" s="163"/>
      <c r="F984" s="163"/>
      <c r="G984" s="163"/>
      <c r="H984" s="163"/>
    </row>
    <row r="985" spans="4:8" ht="11.25" customHeight="1">
      <c r="D985" s="163"/>
      <c r="E985" s="163"/>
      <c r="F985" s="163"/>
      <c r="G985" s="163"/>
      <c r="H985" s="163"/>
    </row>
    <row r="986" spans="4:8" ht="11.25" customHeight="1">
      <c r="D986" s="163"/>
      <c r="E986" s="163"/>
      <c r="F986" s="163"/>
      <c r="G986" s="163"/>
      <c r="H986" s="163"/>
    </row>
    <row r="987" spans="4:8" ht="11.25" customHeight="1">
      <c r="D987" s="163"/>
      <c r="E987" s="163"/>
      <c r="F987" s="163"/>
      <c r="G987" s="163"/>
      <c r="H987" s="163"/>
    </row>
    <row r="988" spans="4:8" ht="11.25" customHeight="1">
      <c r="D988" s="163"/>
      <c r="E988" s="163"/>
      <c r="F988" s="163"/>
      <c r="G988" s="163"/>
      <c r="H988" s="163"/>
    </row>
    <row r="989" spans="4:8" ht="11.25" customHeight="1">
      <c r="D989" s="163"/>
      <c r="E989" s="163"/>
      <c r="F989" s="163"/>
      <c r="G989" s="163"/>
      <c r="H989" s="163"/>
    </row>
    <row r="990" spans="4:8" ht="11.25" customHeight="1">
      <c r="D990" s="163"/>
      <c r="E990" s="163"/>
      <c r="F990" s="163"/>
      <c r="G990" s="163"/>
      <c r="H990" s="163"/>
    </row>
    <row r="991" spans="4:8" ht="11.25" customHeight="1">
      <c r="D991" s="163"/>
      <c r="E991" s="163"/>
      <c r="F991" s="163"/>
      <c r="G991" s="163"/>
      <c r="H991" s="163"/>
    </row>
    <row r="992" spans="4:8" ht="11.25" customHeight="1">
      <c r="D992" s="163"/>
      <c r="E992" s="163"/>
      <c r="F992" s="163"/>
      <c r="G992" s="163"/>
      <c r="H992" s="163"/>
    </row>
    <row r="993" spans="4:8" ht="11.25" customHeight="1">
      <c r="D993" s="163"/>
      <c r="E993" s="163"/>
      <c r="F993" s="163"/>
      <c r="G993" s="163"/>
      <c r="H993" s="163"/>
    </row>
    <row r="994" spans="4:8" ht="11.25" customHeight="1">
      <c r="D994" s="163"/>
      <c r="E994" s="163"/>
      <c r="F994" s="163"/>
      <c r="G994" s="163"/>
      <c r="H994" s="163"/>
    </row>
    <row r="995" spans="4:8" ht="11.25" customHeight="1">
      <c r="D995" s="163"/>
      <c r="E995" s="163"/>
      <c r="F995" s="163"/>
      <c r="G995" s="163"/>
      <c r="H995" s="163"/>
    </row>
    <row r="996" spans="4:8" ht="11.25" customHeight="1">
      <c r="D996" s="163"/>
      <c r="E996" s="163"/>
      <c r="F996" s="163"/>
      <c r="G996" s="163"/>
      <c r="H996" s="163"/>
    </row>
    <row r="997" spans="4:8" ht="11.25" customHeight="1">
      <c r="D997" s="163"/>
      <c r="E997" s="163"/>
      <c r="F997" s="163"/>
      <c r="G997" s="163"/>
      <c r="H997" s="163"/>
    </row>
    <row r="998" spans="4:8" ht="11.25" customHeight="1">
      <c r="D998" s="163"/>
      <c r="E998" s="163"/>
      <c r="F998" s="163"/>
      <c r="G998" s="163"/>
      <c r="H998" s="163"/>
    </row>
    <row r="999" spans="4:8" ht="11.25" customHeight="1">
      <c r="D999" s="163"/>
      <c r="E999" s="163"/>
      <c r="F999" s="163"/>
      <c r="G999" s="163"/>
      <c r="H999" s="163"/>
    </row>
    <row r="1000" spans="4:8" ht="11.25" customHeight="1">
      <c r="D1000" s="163"/>
      <c r="E1000" s="163"/>
      <c r="F1000" s="163"/>
      <c r="G1000" s="163"/>
      <c r="H1000" s="163"/>
    </row>
    <row r="1001" spans="4:8" ht="11.25" customHeight="1">
      <c r="D1001" s="163"/>
      <c r="E1001" s="163"/>
      <c r="F1001" s="163"/>
      <c r="G1001" s="163"/>
      <c r="H1001" s="163"/>
    </row>
    <row r="1002" spans="4:8" ht="11.25" customHeight="1">
      <c r="D1002" s="163"/>
      <c r="E1002" s="163"/>
      <c r="F1002" s="163"/>
      <c r="G1002" s="163"/>
      <c r="H1002" s="163"/>
    </row>
    <row r="1003" spans="4:8" ht="11.25" customHeight="1">
      <c r="D1003" s="163"/>
      <c r="E1003" s="163"/>
      <c r="F1003" s="163"/>
      <c r="G1003" s="163"/>
      <c r="H1003" s="163"/>
    </row>
    <row r="1004" spans="4:8" ht="11.25" customHeight="1">
      <c r="D1004" s="163"/>
      <c r="E1004" s="163"/>
      <c r="F1004" s="163"/>
      <c r="G1004" s="163"/>
      <c r="H1004" s="163"/>
    </row>
    <row r="1005" spans="4:8" ht="11.25" customHeight="1">
      <c r="D1005" s="163"/>
      <c r="E1005" s="163"/>
      <c r="F1005" s="163"/>
      <c r="G1005" s="163"/>
      <c r="H1005" s="163"/>
    </row>
    <row r="1006" spans="4:8" ht="11.25" customHeight="1">
      <c r="D1006" s="163"/>
      <c r="E1006" s="163"/>
      <c r="F1006" s="163"/>
      <c r="G1006" s="163"/>
      <c r="H1006" s="163"/>
    </row>
    <row r="1007" spans="4:8" ht="11.25" customHeight="1">
      <c r="D1007" s="163"/>
      <c r="E1007" s="163"/>
      <c r="F1007" s="163"/>
      <c r="G1007" s="163"/>
      <c r="H1007" s="163"/>
    </row>
    <row r="1008" spans="4:8" ht="11.25" customHeight="1">
      <c r="D1008" s="163"/>
      <c r="E1008" s="163"/>
      <c r="F1008" s="163"/>
      <c r="G1008" s="163"/>
      <c r="H1008" s="163"/>
    </row>
    <row r="1009" spans="4:8" ht="11.25" customHeight="1">
      <c r="D1009" s="163"/>
      <c r="E1009" s="163"/>
      <c r="F1009" s="163"/>
      <c r="G1009" s="163"/>
      <c r="H1009" s="163"/>
    </row>
    <row r="1010" spans="4:8" ht="11.25" customHeight="1">
      <c r="D1010" s="163"/>
      <c r="E1010" s="163"/>
      <c r="F1010" s="163"/>
      <c r="G1010" s="163"/>
      <c r="H1010" s="163"/>
    </row>
    <row r="1011" spans="4:8" ht="11.25" customHeight="1">
      <c r="D1011" s="163"/>
      <c r="E1011" s="163"/>
      <c r="F1011" s="163"/>
      <c r="G1011" s="163"/>
      <c r="H1011" s="163"/>
    </row>
    <row r="1012" spans="4:8" ht="11.25" customHeight="1">
      <c r="D1012" s="163"/>
      <c r="E1012" s="163"/>
      <c r="F1012" s="163"/>
      <c r="G1012" s="163"/>
      <c r="H1012" s="163"/>
    </row>
    <row r="1013" spans="4:8" ht="11.25" customHeight="1">
      <c r="D1013" s="163"/>
      <c r="E1013" s="163"/>
      <c r="F1013" s="163"/>
      <c r="G1013" s="163"/>
      <c r="H1013" s="163"/>
    </row>
    <row r="1014" spans="4:8" ht="11.25" customHeight="1">
      <c r="D1014" s="163"/>
      <c r="E1014" s="163"/>
      <c r="F1014" s="163"/>
      <c r="G1014" s="163"/>
      <c r="H1014" s="163"/>
    </row>
    <row r="1015" spans="4:8" ht="11.25" customHeight="1">
      <c r="D1015" s="163"/>
      <c r="E1015" s="163"/>
      <c r="F1015" s="163"/>
      <c r="G1015" s="163"/>
      <c r="H1015" s="163"/>
    </row>
    <row r="1016" spans="4:8" ht="11.25" customHeight="1">
      <c r="D1016" s="163"/>
      <c r="E1016" s="163"/>
      <c r="F1016" s="163"/>
      <c r="G1016" s="163"/>
      <c r="H1016" s="163"/>
    </row>
    <row r="1017" spans="4:8" ht="11.25" customHeight="1">
      <c r="D1017" s="163"/>
      <c r="E1017" s="163"/>
      <c r="F1017" s="163"/>
      <c r="G1017" s="163"/>
      <c r="H1017" s="163"/>
    </row>
    <row r="1018" spans="4:8" ht="11.25" customHeight="1">
      <c r="D1018" s="163"/>
      <c r="E1018" s="163"/>
      <c r="F1018" s="163"/>
      <c r="G1018" s="163"/>
      <c r="H1018" s="163"/>
    </row>
    <row r="1019" spans="4:8" ht="11.25" customHeight="1">
      <c r="D1019" s="163"/>
      <c r="E1019" s="163"/>
      <c r="F1019" s="163"/>
      <c r="G1019" s="163"/>
      <c r="H1019" s="163"/>
    </row>
    <row r="1020" spans="4:8" ht="11.25" customHeight="1">
      <c r="D1020" s="163"/>
      <c r="E1020" s="163"/>
      <c r="F1020" s="163"/>
      <c r="G1020" s="163"/>
      <c r="H1020" s="163"/>
    </row>
    <row r="1021" spans="4:8" ht="11.25" customHeight="1">
      <c r="D1021" s="163"/>
      <c r="E1021" s="163"/>
      <c r="F1021" s="163"/>
      <c r="G1021" s="163"/>
      <c r="H1021" s="163"/>
    </row>
    <row r="1022" spans="4:8" ht="11.25" customHeight="1">
      <c r="D1022" s="163"/>
      <c r="E1022" s="163"/>
      <c r="F1022" s="163"/>
      <c r="G1022" s="163"/>
      <c r="H1022" s="163"/>
    </row>
    <row r="1023" spans="4:8" ht="11.25" customHeight="1">
      <c r="D1023" s="163"/>
      <c r="E1023" s="163"/>
      <c r="F1023" s="163"/>
      <c r="G1023" s="163"/>
      <c r="H1023" s="163"/>
    </row>
    <row r="1024" spans="4:8" ht="11.25" customHeight="1">
      <c r="D1024" s="163"/>
      <c r="E1024" s="163"/>
      <c r="F1024" s="163"/>
      <c r="G1024" s="163"/>
      <c r="H1024" s="163"/>
    </row>
    <row r="1025" spans="4:8" ht="11.25" customHeight="1">
      <c r="D1025" s="163"/>
      <c r="E1025" s="163"/>
      <c r="F1025" s="163"/>
      <c r="G1025" s="163"/>
      <c r="H1025" s="163"/>
    </row>
    <row r="1026" spans="4:8" ht="11.25" customHeight="1">
      <c r="D1026" s="163"/>
      <c r="E1026" s="163"/>
      <c r="F1026" s="163"/>
      <c r="G1026" s="163"/>
      <c r="H1026" s="163"/>
    </row>
    <row r="1027" spans="4:8" ht="11.25" customHeight="1">
      <c r="D1027" s="163"/>
      <c r="E1027" s="163"/>
      <c r="F1027" s="163"/>
      <c r="G1027" s="163"/>
      <c r="H1027" s="163"/>
    </row>
    <row r="1028" spans="4:8" ht="11.25" customHeight="1">
      <c r="D1028" s="163"/>
      <c r="E1028" s="163"/>
      <c r="F1028" s="163"/>
      <c r="G1028" s="163"/>
      <c r="H1028" s="163"/>
    </row>
    <row r="1029" spans="4:8" ht="11.25" customHeight="1">
      <c r="D1029" s="163"/>
      <c r="E1029" s="163"/>
      <c r="F1029" s="163"/>
      <c r="G1029" s="163"/>
      <c r="H1029" s="163"/>
    </row>
    <row r="1030" spans="4:8" ht="11.25" customHeight="1">
      <c r="D1030" s="163"/>
      <c r="E1030" s="163"/>
      <c r="F1030" s="163"/>
      <c r="G1030" s="163"/>
      <c r="H1030" s="163"/>
    </row>
    <row r="1031" spans="4:8" ht="11.25" customHeight="1">
      <c r="D1031" s="163"/>
      <c r="E1031" s="163"/>
      <c r="F1031" s="163"/>
      <c r="G1031" s="163"/>
      <c r="H1031" s="163"/>
    </row>
    <row r="1032" spans="4:8" ht="11.25" customHeight="1">
      <c r="D1032" s="163"/>
      <c r="E1032" s="163"/>
      <c r="F1032" s="163"/>
      <c r="G1032" s="163"/>
      <c r="H1032" s="163"/>
    </row>
    <row r="1033" spans="4:8" ht="11.25" customHeight="1">
      <c r="D1033" s="163"/>
      <c r="E1033" s="163"/>
      <c r="F1033" s="163"/>
      <c r="G1033" s="163"/>
      <c r="H1033" s="163"/>
    </row>
    <row r="1034" spans="4:8" ht="11.25" customHeight="1">
      <c r="D1034" s="163"/>
      <c r="E1034" s="163"/>
      <c r="F1034" s="163"/>
      <c r="G1034" s="163"/>
      <c r="H1034" s="163"/>
    </row>
    <row r="1035" spans="4:8" ht="11.25" customHeight="1">
      <c r="D1035" s="163"/>
      <c r="E1035" s="163"/>
      <c r="F1035" s="163"/>
      <c r="G1035" s="163"/>
      <c r="H1035" s="163"/>
    </row>
    <row r="1036" spans="4:8" ht="11.25" customHeight="1">
      <c r="D1036" s="163"/>
      <c r="E1036" s="163"/>
      <c r="F1036" s="163"/>
      <c r="G1036" s="163"/>
      <c r="H1036" s="163"/>
    </row>
    <row r="1037" spans="4:8" ht="11.25" customHeight="1">
      <c r="D1037" s="163"/>
      <c r="E1037" s="163"/>
      <c r="F1037" s="163"/>
      <c r="G1037" s="163"/>
      <c r="H1037" s="163"/>
    </row>
    <row r="1038" spans="4:8" ht="11.25" customHeight="1">
      <c r="D1038" s="163"/>
      <c r="E1038" s="163"/>
      <c r="F1038" s="163"/>
      <c r="G1038" s="163"/>
      <c r="H1038" s="163"/>
    </row>
    <row r="1039" spans="4:8" ht="11.25" customHeight="1">
      <c r="D1039" s="163"/>
      <c r="E1039" s="163"/>
      <c r="F1039" s="163"/>
      <c r="G1039" s="163"/>
      <c r="H1039" s="163"/>
    </row>
    <row r="1040" spans="4:8" ht="11.25" customHeight="1">
      <c r="D1040" s="163"/>
      <c r="E1040" s="163"/>
      <c r="F1040" s="163"/>
      <c r="G1040" s="163"/>
      <c r="H1040" s="163"/>
    </row>
    <row r="1041" spans="4:8" ht="11.25" customHeight="1">
      <c r="D1041" s="163"/>
      <c r="E1041" s="163"/>
      <c r="F1041" s="163"/>
      <c r="G1041" s="163"/>
      <c r="H1041" s="163"/>
    </row>
    <row r="1042" spans="4:8" ht="11.25" customHeight="1">
      <c r="D1042" s="163"/>
      <c r="E1042" s="163"/>
      <c r="F1042" s="163"/>
      <c r="G1042" s="163"/>
      <c r="H1042" s="163"/>
    </row>
    <row r="1043" spans="4:8" ht="11.25" customHeight="1">
      <c r="D1043" s="163"/>
      <c r="E1043" s="163"/>
      <c r="F1043" s="163"/>
      <c r="G1043" s="163"/>
      <c r="H1043" s="163"/>
    </row>
    <row r="1044" spans="4:8" ht="11.25" customHeight="1">
      <c r="D1044" s="163"/>
      <c r="E1044" s="163"/>
      <c r="F1044" s="163"/>
      <c r="G1044" s="163"/>
      <c r="H1044" s="163"/>
    </row>
    <row r="1045" spans="4:8" ht="11.25" customHeight="1">
      <c r="D1045" s="163"/>
      <c r="E1045" s="163"/>
      <c r="F1045" s="163"/>
      <c r="G1045" s="163"/>
      <c r="H1045" s="163"/>
    </row>
    <row r="1046" spans="4:8" ht="11.25" customHeight="1">
      <c r="D1046" s="163"/>
      <c r="E1046" s="163"/>
      <c r="F1046" s="163"/>
      <c r="G1046" s="163"/>
      <c r="H1046" s="163"/>
    </row>
    <row r="1047" spans="4:8" ht="11.25" customHeight="1">
      <c r="D1047" s="163"/>
      <c r="E1047" s="163"/>
      <c r="F1047" s="163"/>
      <c r="G1047" s="163"/>
      <c r="H1047" s="163"/>
    </row>
    <row r="1048" spans="4:8" ht="11.25" customHeight="1">
      <c r="D1048" s="163"/>
      <c r="E1048" s="163"/>
      <c r="F1048" s="163"/>
      <c r="G1048" s="163"/>
      <c r="H1048" s="163"/>
    </row>
    <row r="1049" spans="4:8" ht="11.25" customHeight="1">
      <c r="D1049" s="163"/>
      <c r="E1049" s="163"/>
      <c r="F1049" s="163"/>
      <c r="G1049" s="163"/>
      <c r="H1049" s="163"/>
    </row>
    <row r="1050" spans="4:8" ht="11.25" customHeight="1">
      <c r="D1050" s="163"/>
      <c r="E1050" s="163"/>
      <c r="F1050" s="163"/>
      <c r="G1050" s="163"/>
      <c r="H1050" s="163"/>
    </row>
    <row r="1051" spans="4:8" ht="11.25" customHeight="1">
      <c r="D1051" s="163"/>
      <c r="E1051" s="163"/>
      <c r="F1051" s="163"/>
      <c r="G1051" s="163"/>
      <c r="H1051" s="163"/>
    </row>
    <row r="1052" spans="4:8" ht="11.25" customHeight="1">
      <c r="D1052" s="163"/>
      <c r="E1052" s="163"/>
      <c r="F1052" s="163"/>
      <c r="G1052" s="163"/>
      <c r="H1052" s="163"/>
    </row>
    <row r="1053" spans="4:8" ht="11.25" customHeight="1">
      <c r="D1053" s="163"/>
      <c r="E1053" s="163"/>
      <c r="F1053" s="163"/>
      <c r="G1053" s="163"/>
      <c r="H1053" s="163"/>
    </row>
    <row r="1054" spans="4:8" ht="11.25" customHeight="1">
      <c r="D1054" s="163"/>
      <c r="E1054" s="163"/>
      <c r="F1054" s="163"/>
      <c r="G1054" s="163"/>
      <c r="H1054" s="163"/>
    </row>
    <row r="1055" spans="4:8" ht="11.25" customHeight="1">
      <c r="D1055" s="163"/>
      <c r="E1055" s="163"/>
      <c r="F1055" s="163"/>
      <c r="G1055" s="163"/>
      <c r="H1055" s="163"/>
    </row>
    <row r="1056" spans="4:8" ht="11.25" customHeight="1">
      <c r="D1056" s="163"/>
      <c r="E1056" s="163"/>
      <c r="F1056" s="163"/>
      <c r="G1056" s="163"/>
      <c r="H1056" s="163"/>
    </row>
    <row r="1057" spans="4:8" ht="11.25" customHeight="1">
      <c r="D1057" s="163"/>
      <c r="E1057" s="163"/>
      <c r="F1057" s="163"/>
      <c r="G1057" s="163"/>
      <c r="H1057" s="163"/>
    </row>
    <row r="1058" spans="4:8" ht="11.25" customHeight="1">
      <c r="D1058" s="163"/>
      <c r="E1058" s="163"/>
      <c r="F1058" s="163"/>
      <c r="G1058" s="163"/>
      <c r="H1058" s="163"/>
    </row>
    <row r="1059" spans="4:8" ht="11.25" customHeight="1">
      <c r="D1059" s="163"/>
      <c r="E1059" s="163"/>
      <c r="F1059" s="163"/>
      <c r="G1059" s="163"/>
      <c r="H1059" s="163"/>
    </row>
    <row r="1060" spans="4:8" ht="11.25" customHeight="1">
      <c r="D1060" s="163"/>
      <c r="E1060" s="163"/>
      <c r="F1060" s="163"/>
      <c r="G1060" s="163"/>
      <c r="H1060" s="163"/>
    </row>
    <row r="1061" spans="4:8" ht="11.25" customHeight="1">
      <c r="D1061" s="163"/>
      <c r="E1061" s="163"/>
      <c r="F1061" s="163"/>
      <c r="G1061" s="163"/>
      <c r="H1061" s="163"/>
    </row>
    <row r="1062" spans="4:8" ht="11.25" customHeight="1">
      <c r="D1062" s="163"/>
      <c r="E1062" s="163"/>
      <c r="F1062" s="163"/>
      <c r="G1062" s="163"/>
      <c r="H1062" s="163"/>
    </row>
    <row r="1063" spans="4:8" ht="11.25" customHeight="1">
      <c r="D1063" s="163"/>
      <c r="E1063" s="163"/>
      <c r="F1063" s="163"/>
      <c r="G1063" s="163"/>
      <c r="H1063" s="163"/>
    </row>
    <row r="1064" spans="4:8" ht="11.25" customHeight="1">
      <c r="D1064" s="163"/>
      <c r="E1064" s="163"/>
      <c r="F1064" s="163"/>
      <c r="G1064" s="163"/>
      <c r="H1064" s="163"/>
    </row>
    <row r="1065" spans="4:8" ht="11.25" customHeight="1">
      <c r="D1065" s="163"/>
      <c r="E1065" s="163"/>
      <c r="F1065" s="163"/>
      <c r="G1065" s="163"/>
      <c r="H1065" s="163"/>
    </row>
    <row r="1066" spans="4:8" ht="11.25" customHeight="1">
      <c r="D1066" s="163"/>
      <c r="E1066" s="163"/>
      <c r="F1066" s="163"/>
      <c r="G1066" s="163"/>
      <c r="H1066" s="163"/>
    </row>
    <row r="1067" spans="4:8" ht="11.25" customHeight="1">
      <c r="D1067" s="163"/>
      <c r="E1067" s="163"/>
      <c r="F1067" s="163"/>
      <c r="G1067" s="163"/>
      <c r="H1067" s="163"/>
    </row>
    <row r="1068" spans="4:8" ht="11.25" customHeight="1">
      <c r="D1068" s="163"/>
      <c r="E1068" s="163"/>
      <c r="F1068" s="163"/>
      <c r="G1068" s="163"/>
      <c r="H1068" s="163"/>
    </row>
    <row r="1069" spans="4:8" ht="11.25" customHeight="1">
      <c r="D1069" s="163"/>
      <c r="E1069" s="163"/>
      <c r="F1069" s="163"/>
      <c r="G1069" s="163"/>
      <c r="H1069" s="163"/>
    </row>
    <row r="1070" spans="4:8" ht="11.25" customHeight="1">
      <c r="D1070" s="163"/>
      <c r="E1070" s="163"/>
      <c r="F1070" s="163"/>
      <c r="G1070" s="163"/>
      <c r="H1070" s="163"/>
    </row>
    <row r="1071" spans="4:8" ht="11.25" customHeight="1">
      <c r="D1071" s="163"/>
      <c r="E1071" s="163"/>
      <c r="F1071" s="163"/>
      <c r="G1071" s="163"/>
      <c r="H1071" s="163"/>
    </row>
    <row r="1072" spans="4:8" ht="11.25" customHeight="1">
      <c r="D1072" s="163"/>
      <c r="E1072" s="163"/>
      <c r="F1072" s="163"/>
      <c r="G1072" s="163"/>
      <c r="H1072" s="163"/>
    </row>
    <row r="1073" spans="4:8" ht="11.25" customHeight="1">
      <c r="D1073" s="163"/>
      <c r="E1073" s="163"/>
      <c r="F1073" s="163"/>
      <c r="G1073" s="163"/>
      <c r="H1073" s="163"/>
    </row>
    <row r="1074" spans="4:8" ht="11.25" customHeight="1">
      <c r="D1074" s="163"/>
      <c r="E1074" s="163"/>
      <c r="F1074" s="163"/>
      <c r="G1074" s="163"/>
      <c r="H1074" s="163"/>
    </row>
    <row r="1075" spans="4:8" ht="11.25" customHeight="1">
      <c r="D1075" s="163"/>
      <c r="E1075" s="163"/>
      <c r="F1075" s="163"/>
      <c r="G1075" s="163"/>
      <c r="H1075" s="163"/>
    </row>
    <row r="1076" spans="4:8" ht="11.25" customHeight="1">
      <c r="D1076" s="163"/>
      <c r="E1076" s="163"/>
      <c r="F1076" s="163"/>
      <c r="G1076" s="163"/>
      <c r="H1076" s="163"/>
    </row>
    <row r="1077" spans="4:8" ht="11.25" customHeight="1">
      <c r="D1077" s="163"/>
      <c r="E1077" s="163"/>
      <c r="F1077" s="163"/>
      <c r="G1077" s="163"/>
      <c r="H1077" s="163"/>
    </row>
    <row r="1078" spans="4:8" ht="11.25" customHeight="1">
      <c r="D1078" s="163"/>
      <c r="E1078" s="163"/>
      <c r="F1078" s="163"/>
      <c r="G1078" s="163"/>
      <c r="H1078" s="163"/>
    </row>
    <row r="1079" spans="4:8" ht="11.25" customHeight="1">
      <c r="D1079" s="163"/>
      <c r="E1079" s="163"/>
      <c r="F1079" s="163"/>
      <c r="G1079" s="163"/>
      <c r="H1079" s="163"/>
    </row>
    <row r="1080" spans="4:8" ht="11.25" customHeight="1">
      <c r="D1080" s="163"/>
      <c r="E1080" s="163"/>
      <c r="F1080" s="163"/>
      <c r="G1080" s="163"/>
      <c r="H1080" s="163"/>
    </row>
    <row r="1081" spans="4:8" ht="11.25" customHeight="1">
      <c r="D1081" s="163"/>
      <c r="E1081" s="163"/>
      <c r="F1081" s="163"/>
      <c r="G1081" s="163"/>
      <c r="H1081" s="163"/>
    </row>
    <row r="1082" spans="4:8" ht="11.25" customHeight="1">
      <c r="D1082" s="163"/>
      <c r="E1082" s="163"/>
      <c r="F1082" s="163"/>
      <c r="G1082" s="163"/>
      <c r="H1082" s="163"/>
    </row>
    <row r="1083" spans="4:8" ht="11.25" customHeight="1">
      <c r="D1083" s="163"/>
      <c r="E1083" s="163"/>
      <c r="F1083" s="163"/>
      <c r="G1083" s="163"/>
      <c r="H1083" s="163"/>
    </row>
    <row r="1084" spans="4:8" ht="11.25" customHeight="1">
      <c r="D1084" s="163"/>
      <c r="E1084" s="163"/>
      <c r="F1084" s="163"/>
      <c r="G1084" s="163"/>
      <c r="H1084" s="163"/>
    </row>
    <row r="1085" spans="4:8" ht="11.25" customHeight="1">
      <c r="D1085" s="163"/>
      <c r="E1085" s="163"/>
      <c r="F1085" s="163"/>
      <c r="G1085" s="163"/>
      <c r="H1085" s="163"/>
    </row>
    <row r="1086" spans="4:8" ht="11.25" customHeight="1">
      <c r="D1086" s="163"/>
      <c r="E1086" s="163"/>
      <c r="F1086" s="163"/>
      <c r="G1086" s="163"/>
      <c r="H1086" s="163"/>
    </row>
    <row r="1087" spans="4:8" ht="11.25" customHeight="1">
      <c r="D1087" s="163"/>
      <c r="E1087" s="163"/>
      <c r="F1087" s="163"/>
      <c r="G1087" s="163"/>
      <c r="H1087" s="163"/>
    </row>
    <row r="1088" spans="4:8" ht="11.25" customHeight="1">
      <c r="D1088" s="163"/>
      <c r="E1088" s="163"/>
      <c r="F1088" s="163"/>
      <c r="G1088" s="163"/>
      <c r="H1088" s="163"/>
    </row>
    <row r="1089" spans="4:8" ht="11.25" customHeight="1">
      <c r="D1089" s="163"/>
      <c r="E1089" s="163"/>
      <c r="F1089" s="163"/>
      <c r="G1089" s="163"/>
      <c r="H1089" s="163"/>
    </row>
    <row r="1090" spans="4:8" ht="11.25" customHeight="1">
      <c r="D1090" s="163"/>
      <c r="E1090" s="163"/>
      <c r="F1090" s="163"/>
      <c r="G1090" s="163"/>
      <c r="H1090" s="163"/>
    </row>
    <row r="1091" spans="4:8" ht="11.25" customHeight="1">
      <c r="D1091" s="163"/>
      <c r="E1091" s="163"/>
      <c r="F1091" s="163"/>
      <c r="G1091" s="163"/>
      <c r="H1091" s="163"/>
    </row>
    <row r="1092" spans="4:8" ht="11.25" customHeight="1">
      <c r="D1092" s="163"/>
      <c r="E1092" s="163"/>
      <c r="F1092" s="163"/>
      <c r="G1092" s="163"/>
      <c r="H1092" s="163"/>
    </row>
    <row r="1093" spans="4:8" ht="11.25" customHeight="1">
      <c r="D1093" s="163"/>
      <c r="E1093" s="163"/>
      <c r="F1093" s="163"/>
      <c r="G1093" s="163"/>
      <c r="H1093" s="163"/>
    </row>
    <row r="1094" spans="4:8" ht="11.25" customHeight="1">
      <c r="D1094" s="163"/>
      <c r="E1094" s="163"/>
      <c r="F1094" s="163"/>
      <c r="G1094" s="163"/>
      <c r="H1094" s="163"/>
    </row>
    <row r="1095" spans="4:8" ht="11.25" customHeight="1">
      <c r="D1095" s="163"/>
      <c r="E1095" s="163"/>
      <c r="F1095" s="163"/>
      <c r="G1095" s="163"/>
      <c r="H1095" s="163"/>
    </row>
    <row r="1096" spans="4:8" ht="11.25" customHeight="1">
      <c r="D1096" s="163"/>
      <c r="E1096" s="163"/>
      <c r="F1096" s="163"/>
      <c r="G1096" s="163"/>
      <c r="H1096" s="163"/>
    </row>
    <row r="1097" spans="4:8" ht="11.25" customHeight="1">
      <c r="D1097" s="163"/>
      <c r="E1097" s="163"/>
      <c r="F1097" s="163"/>
      <c r="G1097" s="163"/>
      <c r="H1097" s="163"/>
    </row>
    <row r="1098" spans="4:8" ht="11.25" customHeight="1">
      <c r="D1098" s="163"/>
      <c r="E1098" s="163"/>
      <c r="F1098" s="163"/>
      <c r="G1098" s="163"/>
      <c r="H1098" s="163"/>
    </row>
    <row r="1099" spans="4:8" ht="11.25" customHeight="1">
      <c r="D1099" s="163"/>
      <c r="E1099" s="163"/>
      <c r="F1099" s="163"/>
      <c r="G1099" s="163"/>
      <c r="H1099" s="163"/>
    </row>
    <row r="1100" spans="4:8" ht="11.25" customHeight="1">
      <c r="D1100" s="163"/>
      <c r="E1100" s="163"/>
      <c r="F1100" s="163"/>
      <c r="G1100" s="163"/>
      <c r="H1100" s="163"/>
    </row>
    <row r="1101" spans="4:8" ht="11.25" customHeight="1">
      <c r="D1101" s="163"/>
      <c r="E1101" s="163"/>
      <c r="F1101" s="163"/>
      <c r="G1101" s="163"/>
      <c r="H1101" s="163"/>
    </row>
    <row r="1102" spans="4:8" ht="11.25" customHeight="1">
      <c r="D1102" s="163"/>
      <c r="E1102" s="163"/>
      <c r="F1102" s="163"/>
      <c r="G1102" s="163"/>
      <c r="H1102" s="163"/>
    </row>
    <row r="1103" spans="4:8" ht="11.25" customHeight="1">
      <c r="D1103" s="163"/>
      <c r="E1103" s="163"/>
      <c r="F1103" s="163"/>
      <c r="G1103" s="163"/>
      <c r="H1103" s="163"/>
    </row>
    <row r="1104" spans="4:8" ht="11.25" customHeight="1">
      <c r="D1104" s="163"/>
      <c r="E1104" s="163"/>
      <c r="F1104" s="163"/>
      <c r="G1104" s="163"/>
      <c r="H1104" s="163"/>
    </row>
    <row r="1105" spans="4:8" ht="11.25" customHeight="1">
      <c r="D1105" s="163"/>
      <c r="E1105" s="163"/>
      <c r="F1105" s="163"/>
      <c r="G1105" s="163"/>
      <c r="H1105" s="163"/>
    </row>
    <row r="1106" spans="4:8" ht="11.25" customHeight="1">
      <c r="D1106" s="163"/>
      <c r="E1106" s="163"/>
      <c r="F1106" s="163"/>
      <c r="G1106" s="163"/>
      <c r="H1106" s="163"/>
    </row>
    <row r="1107" spans="4:8" ht="11.25" customHeight="1">
      <c r="D1107" s="163"/>
      <c r="E1107" s="163"/>
      <c r="F1107" s="163"/>
      <c r="G1107" s="163"/>
      <c r="H1107" s="163"/>
    </row>
    <row r="1108" spans="4:8" ht="11.25" customHeight="1">
      <c r="D1108" s="163"/>
      <c r="E1108" s="163"/>
      <c r="F1108" s="163"/>
      <c r="G1108" s="163"/>
      <c r="H1108" s="163"/>
    </row>
    <row r="1109" spans="4:8" ht="11.25" customHeight="1">
      <c r="D1109" s="163"/>
      <c r="E1109" s="163"/>
      <c r="F1109" s="163"/>
      <c r="G1109" s="163"/>
      <c r="H1109" s="163"/>
    </row>
    <row r="1110" spans="4:8" ht="11.25" customHeight="1">
      <c r="D1110" s="163"/>
      <c r="E1110" s="163"/>
      <c r="F1110" s="163"/>
      <c r="G1110" s="163"/>
      <c r="H1110" s="163"/>
    </row>
    <row r="1111" spans="4:8" ht="11.25" customHeight="1">
      <c r="D1111" s="163"/>
      <c r="E1111" s="163"/>
      <c r="F1111" s="163"/>
      <c r="G1111" s="163"/>
      <c r="H1111" s="163"/>
    </row>
    <row r="1112" spans="4:8" ht="11.25" customHeight="1">
      <c r="D1112" s="163"/>
      <c r="E1112" s="163"/>
      <c r="F1112" s="163"/>
      <c r="G1112" s="163"/>
      <c r="H1112" s="163"/>
    </row>
    <row r="1113" spans="4:8" ht="11.25" customHeight="1">
      <c r="D1113" s="163"/>
      <c r="E1113" s="163"/>
      <c r="F1113" s="163"/>
      <c r="G1113" s="163"/>
      <c r="H1113" s="163"/>
    </row>
    <row r="1114" spans="4:8" ht="11.25" customHeight="1">
      <c r="D1114" s="163"/>
      <c r="E1114" s="163"/>
      <c r="F1114" s="163"/>
      <c r="G1114" s="163"/>
      <c r="H1114" s="163"/>
    </row>
    <row r="1115" spans="4:8" ht="11.25" customHeight="1">
      <c r="D1115" s="163"/>
      <c r="E1115" s="163"/>
      <c r="F1115" s="163"/>
      <c r="G1115" s="163"/>
      <c r="H1115" s="163"/>
    </row>
    <row r="1116" spans="4:8" ht="11.25" customHeight="1">
      <c r="D1116" s="163"/>
      <c r="E1116" s="163"/>
      <c r="F1116" s="163"/>
      <c r="G1116" s="163"/>
      <c r="H1116" s="163"/>
    </row>
    <row r="1117" spans="4:8" ht="11.25" customHeight="1">
      <c r="D1117" s="163"/>
      <c r="E1117" s="163"/>
      <c r="F1117" s="163"/>
      <c r="G1117" s="163"/>
      <c r="H1117" s="163"/>
    </row>
    <row r="1118" spans="4:8" ht="11.25" customHeight="1">
      <c r="D1118" s="163"/>
      <c r="E1118" s="163"/>
      <c r="F1118" s="163"/>
      <c r="G1118" s="163"/>
      <c r="H1118" s="163"/>
    </row>
    <row r="1119" spans="4:8" ht="11.25" customHeight="1">
      <c r="D1119" s="163"/>
      <c r="E1119" s="163"/>
      <c r="F1119" s="163"/>
      <c r="G1119" s="163"/>
      <c r="H1119" s="163"/>
    </row>
    <row r="1120" spans="4:8" ht="11.25" customHeight="1">
      <c r="D1120" s="163"/>
      <c r="E1120" s="163"/>
      <c r="F1120" s="163"/>
      <c r="G1120" s="163"/>
      <c r="H1120" s="163"/>
    </row>
    <row r="1121" spans="4:8" ht="11.25" customHeight="1">
      <c r="D1121" s="163"/>
      <c r="E1121" s="163"/>
      <c r="F1121" s="163"/>
      <c r="G1121" s="163"/>
      <c r="H1121" s="163"/>
    </row>
    <row r="1122" spans="4:8" ht="11.25" customHeight="1">
      <c r="D1122" s="163"/>
      <c r="E1122" s="163"/>
      <c r="F1122" s="163"/>
      <c r="G1122" s="163"/>
      <c r="H1122" s="163"/>
    </row>
    <row r="1123" spans="4:8" ht="11.25" customHeight="1">
      <c r="D1123" s="163"/>
      <c r="E1123" s="163"/>
      <c r="F1123" s="163"/>
      <c r="G1123" s="163"/>
      <c r="H1123" s="163"/>
    </row>
    <row r="1124" spans="4:8" ht="11.25" customHeight="1">
      <c r="D1124" s="163"/>
      <c r="E1124" s="163"/>
      <c r="F1124" s="163"/>
      <c r="G1124" s="163"/>
      <c r="H1124" s="163"/>
    </row>
    <row r="1125" spans="4:8" ht="11.25" customHeight="1">
      <c r="D1125" s="163"/>
      <c r="E1125" s="163"/>
      <c r="F1125" s="163"/>
      <c r="G1125" s="163"/>
      <c r="H1125" s="163"/>
    </row>
    <row r="1126" spans="4:8" ht="11.25" customHeight="1">
      <c r="D1126" s="163"/>
      <c r="E1126" s="163"/>
      <c r="F1126" s="163"/>
      <c r="G1126" s="163"/>
      <c r="H1126" s="163"/>
    </row>
    <row r="1127" spans="4:8" ht="11.25" customHeight="1">
      <c r="D1127" s="163"/>
      <c r="E1127" s="163"/>
      <c r="F1127" s="163"/>
      <c r="G1127" s="163"/>
      <c r="H1127" s="163"/>
    </row>
    <row r="1128" spans="4:8" ht="11.25" customHeight="1">
      <c r="D1128" s="163"/>
      <c r="E1128" s="163"/>
      <c r="F1128" s="163"/>
      <c r="G1128" s="163"/>
      <c r="H1128" s="163"/>
    </row>
    <row r="1129" spans="4:8" ht="11.25" customHeight="1">
      <c r="D1129" s="163"/>
      <c r="E1129" s="163"/>
      <c r="F1129" s="163"/>
      <c r="G1129" s="163"/>
      <c r="H1129" s="163"/>
    </row>
    <row r="1130" spans="4:8" ht="11.25" customHeight="1">
      <c r="D1130" s="163"/>
      <c r="E1130" s="163"/>
      <c r="F1130" s="163"/>
      <c r="G1130" s="163"/>
      <c r="H1130" s="163"/>
    </row>
    <row r="1131" spans="4:8" ht="11.25" customHeight="1">
      <c r="D1131" s="163"/>
      <c r="E1131" s="163"/>
      <c r="F1131" s="163"/>
      <c r="G1131" s="163"/>
      <c r="H1131" s="163"/>
    </row>
    <row r="1132" spans="4:8" ht="11.25" customHeight="1">
      <c r="D1132" s="163"/>
      <c r="E1132" s="163"/>
      <c r="F1132" s="163"/>
      <c r="G1132" s="163"/>
      <c r="H1132" s="163"/>
    </row>
    <row r="1133" spans="4:8" ht="11.25" customHeight="1">
      <c r="D1133" s="163"/>
      <c r="E1133" s="163"/>
      <c r="F1133" s="163"/>
      <c r="G1133" s="163"/>
      <c r="H1133" s="163"/>
    </row>
    <row r="1134" spans="4:8" ht="11.25" customHeight="1">
      <c r="D1134" s="163"/>
      <c r="E1134" s="163"/>
      <c r="F1134" s="163"/>
      <c r="G1134" s="163"/>
      <c r="H1134" s="163"/>
    </row>
    <row r="1135" spans="4:8" ht="11.25" customHeight="1">
      <c r="D1135" s="163"/>
      <c r="E1135" s="163"/>
      <c r="F1135" s="163"/>
      <c r="G1135" s="163"/>
      <c r="H1135" s="163"/>
    </row>
    <row r="1136" spans="4:8" ht="11.25" customHeight="1">
      <c r="D1136" s="163"/>
      <c r="E1136" s="163"/>
      <c r="F1136" s="163"/>
      <c r="G1136" s="163"/>
      <c r="H1136" s="163"/>
    </row>
    <row r="1137" spans="4:8" ht="11.25" customHeight="1">
      <c r="D1137" s="163"/>
      <c r="E1137" s="163"/>
      <c r="F1137" s="163"/>
      <c r="G1137" s="163"/>
      <c r="H1137" s="163"/>
    </row>
    <row r="1138" spans="4:8" ht="11.25" customHeight="1">
      <c r="D1138" s="163"/>
      <c r="E1138" s="163"/>
      <c r="F1138" s="163"/>
      <c r="G1138" s="163"/>
      <c r="H1138" s="163"/>
    </row>
    <row r="1139" spans="4:8" ht="11.25" customHeight="1">
      <c r="D1139" s="163"/>
      <c r="E1139" s="163"/>
      <c r="F1139" s="163"/>
      <c r="G1139" s="163"/>
      <c r="H1139" s="163"/>
    </row>
    <row r="1140" spans="4:8" ht="11.25" customHeight="1">
      <c r="D1140" s="163"/>
      <c r="E1140" s="163"/>
      <c r="F1140" s="163"/>
      <c r="G1140" s="163"/>
      <c r="H1140" s="163"/>
    </row>
    <row r="1141" spans="4:8" ht="11.25" customHeight="1">
      <c r="D1141" s="163"/>
      <c r="E1141" s="163"/>
      <c r="F1141" s="163"/>
      <c r="G1141" s="163"/>
      <c r="H1141" s="163"/>
    </row>
    <row r="1142" spans="4:8" ht="11.25" customHeight="1">
      <c r="D1142" s="163"/>
      <c r="E1142" s="163"/>
      <c r="F1142" s="163"/>
      <c r="G1142" s="163"/>
      <c r="H1142" s="163"/>
    </row>
    <row r="1143" spans="4:8" ht="11.25" customHeight="1">
      <c r="D1143" s="163"/>
      <c r="E1143" s="163"/>
      <c r="F1143" s="163"/>
      <c r="G1143" s="163"/>
      <c r="H1143" s="163"/>
    </row>
    <row r="1144" spans="4:8" ht="11.25" customHeight="1">
      <c r="D1144" s="163"/>
      <c r="E1144" s="163"/>
      <c r="F1144" s="163"/>
      <c r="G1144" s="163"/>
      <c r="H1144" s="163"/>
    </row>
    <row r="1145" spans="4:8" ht="11.25" customHeight="1">
      <c r="D1145" s="163"/>
      <c r="E1145" s="163"/>
      <c r="F1145" s="163"/>
      <c r="G1145" s="163"/>
      <c r="H1145" s="163"/>
    </row>
    <row r="1146" spans="4:8" ht="11.25" customHeight="1">
      <c r="D1146" s="163"/>
      <c r="E1146" s="163"/>
      <c r="F1146" s="163"/>
      <c r="G1146" s="163"/>
      <c r="H1146" s="163"/>
    </row>
    <row r="1147" spans="4:8" ht="11.25" customHeight="1">
      <c r="D1147" s="163"/>
      <c r="E1147" s="163"/>
      <c r="F1147" s="163"/>
      <c r="G1147" s="163"/>
      <c r="H1147" s="163"/>
    </row>
    <row r="1148" spans="4:8" ht="11.25" customHeight="1">
      <c r="D1148" s="163"/>
      <c r="E1148" s="163"/>
      <c r="F1148" s="163"/>
      <c r="G1148" s="163"/>
      <c r="H1148" s="163"/>
    </row>
    <row r="1149" spans="4:8" ht="11.25" customHeight="1">
      <c r="D1149" s="163"/>
      <c r="E1149" s="163"/>
      <c r="F1149" s="163"/>
      <c r="G1149" s="163"/>
      <c r="H1149" s="163"/>
    </row>
    <row r="1150" spans="4:8" ht="11.25" customHeight="1">
      <c r="D1150" s="163"/>
      <c r="E1150" s="163"/>
      <c r="F1150" s="163"/>
      <c r="G1150" s="163"/>
      <c r="H1150" s="163"/>
    </row>
    <row r="1151" spans="4:8" ht="11.25" customHeight="1">
      <c r="D1151" s="163"/>
      <c r="E1151" s="163"/>
      <c r="F1151" s="163"/>
      <c r="G1151" s="163"/>
      <c r="H1151" s="163"/>
    </row>
    <row r="1152" spans="4:8" ht="11.25" customHeight="1">
      <c r="D1152" s="163"/>
      <c r="E1152" s="163"/>
      <c r="F1152" s="163"/>
      <c r="G1152" s="163"/>
      <c r="H1152" s="163"/>
    </row>
    <row r="1153" spans="4:8" ht="11.25" customHeight="1">
      <c r="D1153" s="163"/>
      <c r="E1153" s="163"/>
      <c r="F1153" s="163"/>
      <c r="G1153" s="163"/>
      <c r="H1153" s="163"/>
    </row>
    <row r="1154" spans="4:8" ht="11.25" customHeight="1">
      <c r="D1154" s="163"/>
      <c r="E1154" s="163"/>
      <c r="F1154" s="163"/>
      <c r="G1154" s="163"/>
      <c r="H1154" s="163"/>
    </row>
    <row r="1155" spans="4:8" ht="11.25" customHeight="1">
      <c r="D1155" s="163"/>
      <c r="E1155" s="163"/>
      <c r="F1155" s="163"/>
      <c r="G1155" s="163"/>
      <c r="H1155" s="163"/>
    </row>
    <row r="1156" spans="4:8" ht="11.25" customHeight="1">
      <c r="D1156" s="163"/>
      <c r="E1156" s="163"/>
      <c r="F1156" s="163"/>
      <c r="G1156" s="163"/>
      <c r="H1156" s="163"/>
    </row>
    <row r="1157" spans="4:8" ht="11.25" customHeight="1">
      <c r="D1157" s="163"/>
      <c r="E1157" s="163"/>
      <c r="F1157" s="163"/>
      <c r="G1157" s="163"/>
      <c r="H1157" s="163"/>
    </row>
    <row r="1158" spans="4:8" ht="11.25" customHeight="1">
      <c r="D1158" s="163"/>
      <c r="E1158" s="163"/>
      <c r="F1158" s="163"/>
      <c r="G1158" s="163"/>
      <c r="H1158" s="163"/>
    </row>
    <row r="1159" spans="4:8" ht="11.25" customHeight="1">
      <c r="D1159" s="163"/>
      <c r="E1159" s="163"/>
      <c r="F1159" s="163"/>
      <c r="G1159" s="163"/>
      <c r="H1159" s="163"/>
    </row>
    <row r="1160" spans="4:8" ht="11.25" customHeight="1">
      <c r="D1160" s="163"/>
      <c r="E1160" s="163"/>
      <c r="F1160" s="163"/>
      <c r="G1160" s="163"/>
      <c r="H1160" s="163"/>
    </row>
    <row r="1161" spans="4:8" ht="11.25" customHeight="1">
      <c r="D1161" s="163"/>
      <c r="E1161" s="163"/>
      <c r="F1161" s="163"/>
      <c r="G1161" s="163"/>
      <c r="H1161" s="163"/>
    </row>
    <row r="1162" spans="4:8" ht="11.25" customHeight="1">
      <c r="D1162" s="163"/>
      <c r="E1162" s="163"/>
      <c r="F1162" s="163"/>
      <c r="G1162" s="163"/>
      <c r="H1162" s="163"/>
    </row>
    <row r="1163" spans="4:8" ht="11.25" customHeight="1">
      <c r="D1163" s="163"/>
      <c r="E1163" s="163"/>
      <c r="F1163" s="163"/>
      <c r="G1163" s="163"/>
      <c r="H1163" s="163"/>
    </row>
    <row r="1164" spans="4:8" ht="11.25" customHeight="1">
      <c r="D1164" s="163"/>
      <c r="E1164" s="163"/>
      <c r="F1164" s="163"/>
      <c r="G1164" s="163"/>
      <c r="H1164" s="163"/>
    </row>
    <row r="1165" spans="4:8" ht="11.25" customHeight="1">
      <c r="D1165" s="163"/>
      <c r="E1165" s="163"/>
      <c r="F1165" s="163"/>
      <c r="G1165" s="163"/>
      <c r="H1165" s="163"/>
    </row>
    <row r="1166" spans="4:8" ht="11.25" customHeight="1">
      <c r="D1166" s="163"/>
      <c r="E1166" s="163"/>
      <c r="F1166" s="163"/>
      <c r="G1166" s="163"/>
      <c r="H1166" s="163"/>
    </row>
    <row r="1167" spans="4:8" ht="11.25" customHeight="1">
      <c r="D1167" s="163"/>
      <c r="E1167" s="163"/>
      <c r="F1167" s="163"/>
      <c r="G1167" s="163"/>
      <c r="H1167" s="163"/>
    </row>
    <row r="1168" spans="4:8" ht="11.25" customHeight="1">
      <c r="D1168" s="163"/>
      <c r="E1168" s="163"/>
      <c r="F1168" s="163"/>
      <c r="G1168" s="163"/>
      <c r="H1168" s="163"/>
    </row>
    <row r="1169" spans="4:8" ht="11.25" customHeight="1">
      <c r="D1169" s="163"/>
      <c r="E1169" s="163"/>
      <c r="F1169" s="163"/>
      <c r="G1169" s="163"/>
      <c r="H1169" s="163"/>
    </row>
    <row r="1170" spans="4:8" ht="11.25" customHeight="1">
      <c r="D1170" s="163"/>
      <c r="E1170" s="163"/>
      <c r="F1170" s="163"/>
      <c r="G1170" s="163"/>
      <c r="H1170" s="163"/>
    </row>
    <row r="1171" spans="4:8" ht="11.25" customHeight="1">
      <c r="D1171" s="163"/>
      <c r="E1171" s="163"/>
      <c r="F1171" s="163"/>
      <c r="G1171" s="163"/>
      <c r="H1171" s="163"/>
    </row>
    <row r="1172" spans="4:8" ht="11.25" customHeight="1">
      <c r="D1172" s="163"/>
      <c r="E1172" s="163"/>
      <c r="F1172" s="163"/>
      <c r="G1172" s="163"/>
      <c r="H1172" s="163"/>
    </row>
    <row r="1173" spans="4:8" ht="11.25" customHeight="1">
      <c r="D1173" s="163"/>
      <c r="E1173" s="163"/>
      <c r="F1173" s="163"/>
      <c r="G1173" s="163"/>
      <c r="H1173" s="163"/>
    </row>
    <row r="1174" spans="4:8" ht="11.25" customHeight="1">
      <c r="D1174" s="163"/>
      <c r="E1174" s="163"/>
      <c r="F1174" s="163"/>
      <c r="G1174" s="163"/>
      <c r="H1174" s="163"/>
    </row>
    <row r="1175" spans="4:8" ht="11.25" customHeight="1">
      <c r="D1175" s="163"/>
      <c r="E1175" s="163"/>
      <c r="F1175" s="163"/>
      <c r="G1175" s="163"/>
      <c r="H1175" s="163"/>
    </row>
    <row r="1176" spans="4:8" ht="11.25" customHeight="1">
      <c r="D1176" s="163"/>
      <c r="E1176" s="163"/>
      <c r="F1176" s="163"/>
      <c r="G1176" s="163"/>
      <c r="H1176" s="163"/>
    </row>
    <row r="1177" spans="4:8" ht="11.25" customHeight="1">
      <c r="D1177" s="163"/>
      <c r="E1177" s="163"/>
      <c r="F1177" s="163"/>
      <c r="G1177" s="163"/>
      <c r="H1177" s="163"/>
    </row>
    <row r="1178" spans="4:8" ht="11.25" customHeight="1">
      <c r="D1178" s="163"/>
      <c r="E1178" s="163"/>
      <c r="F1178" s="163"/>
      <c r="G1178" s="163"/>
      <c r="H1178" s="163"/>
    </row>
    <row r="1179" spans="4:8" ht="11.25" customHeight="1">
      <c r="D1179" s="163"/>
      <c r="E1179" s="163"/>
      <c r="F1179" s="163"/>
      <c r="G1179" s="163"/>
      <c r="H1179" s="163"/>
    </row>
    <row r="1180" spans="4:8" ht="11.25" customHeight="1">
      <c r="D1180" s="163"/>
      <c r="E1180" s="163"/>
      <c r="F1180" s="163"/>
      <c r="G1180" s="163"/>
      <c r="H1180" s="163"/>
    </row>
    <row r="1181" spans="4:8" ht="11.25" customHeight="1">
      <c r="D1181" s="163"/>
      <c r="E1181" s="163"/>
      <c r="F1181" s="163"/>
      <c r="G1181" s="163"/>
      <c r="H1181" s="163"/>
    </row>
    <row r="1182" spans="4:8" ht="11.25" customHeight="1">
      <c r="D1182" s="163"/>
      <c r="E1182" s="163"/>
      <c r="F1182" s="163"/>
      <c r="G1182" s="163"/>
      <c r="H1182" s="163"/>
    </row>
    <row r="1183" spans="4:8" ht="11.25" customHeight="1">
      <c r="D1183" s="163"/>
      <c r="E1183" s="163"/>
      <c r="F1183" s="163"/>
      <c r="G1183" s="163"/>
      <c r="H1183" s="163"/>
    </row>
    <row r="1184" spans="4:8" ht="11.25" customHeight="1">
      <c r="D1184" s="163"/>
      <c r="E1184" s="163"/>
      <c r="F1184" s="163"/>
      <c r="G1184" s="163"/>
      <c r="H1184" s="163"/>
    </row>
    <row r="1185" spans="4:8" ht="11.25" customHeight="1">
      <c r="D1185" s="163"/>
      <c r="E1185" s="163"/>
      <c r="F1185" s="163"/>
      <c r="G1185" s="163"/>
      <c r="H1185" s="163"/>
    </row>
    <row r="1186" spans="4:8" ht="11.25" customHeight="1">
      <c r="D1186" s="163"/>
      <c r="E1186" s="163"/>
      <c r="F1186" s="163"/>
      <c r="G1186" s="163"/>
      <c r="H1186" s="163"/>
    </row>
    <row r="1187" spans="4:8" ht="11.25" customHeight="1">
      <c r="D1187" s="163"/>
      <c r="E1187" s="163"/>
      <c r="F1187" s="163"/>
      <c r="G1187" s="163"/>
      <c r="H1187" s="163"/>
    </row>
    <row r="1188" spans="4:8" ht="11.25" customHeight="1">
      <c r="D1188" s="163"/>
      <c r="E1188" s="163"/>
      <c r="F1188" s="163"/>
      <c r="G1188" s="163"/>
      <c r="H1188" s="163"/>
    </row>
    <row r="1189" spans="4:8" ht="11.25" customHeight="1">
      <c r="D1189" s="163"/>
      <c r="E1189" s="163"/>
      <c r="F1189" s="163"/>
      <c r="G1189" s="163"/>
      <c r="H1189" s="163"/>
    </row>
    <row r="1190" spans="4:8" ht="11.25" customHeight="1">
      <c r="D1190" s="163"/>
      <c r="E1190" s="163"/>
      <c r="F1190" s="163"/>
      <c r="G1190" s="163"/>
      <c r="H1190" s="163"/>
    </row>
    <row r="1191" spans="4:8" ht="11.25" customHeight="1">
      <c r="D1191" s="163"/>
      <c r="E1191" s="163"/>
      <c r="F1191" s="163"/>
      <c r="G1191" s="163"/>
      <c r="H1191" s="163"/>
    </row>
    <row r="1192" spans="4:8" ht="11.25" customHeight="1">
      <c r="D1192" s="163"/>
      <c r="E1192" s="163"/>
      <c r="F1192" s="163"/>
      <c r="G1192" s="163"/>
      <c r="H1192" s="163"/>
    </row>
    <row r="1193" spans="4:8" ht="11.25" customHeight="1">
      <c r="D1193" s="163"/>
      <c r="E1193" s="163"/>
      <c r="F1193" s="163"/>
      <c r="G1193" s="163"/>
      <c r="H1193" s="163"/>
    </row>
    <row r="1194" spans="4:8" ht="11.25" customHeight="1">
      <c r="D1194" s="163"/>
      <c r="E1194" s="163"/>
      <c r="F1194" s="163"/>
      <c r="G1194" s="163"/>
      <c r="H1194" s="163"/>
    </row>
    <row r="1195" spans="4:8" ht="11.25" customHeight="1">
      <c r="D1195" s="163"/>
      <c r="E1195" s="163"/>
      <c r="F1195" s="163"/>
      <c r="G1195" s="163"/>
      <c r="H1195" s="163"/>
    </row>
    <row r="1196" spans="4:8" ht="11.25" customHeight="1">
      <c r="D1196" s="163"/>
      <c r="E1196" s="163"/>
      <c r="F1196" s="163"/>
      <c r="G1196" s="163"/>
      <c r="H1196" s="163"/>
    </row>
    <row r="1197" spans="4:8" ht="11.25" customHeight="1">
      <c r="D1197" s="163"/>
      <c r="E1197" s="163"/>
      <c r="F1197" s="163"/>
      <c r="G1197" s="163"/>
      <c r="H1197" s="163"/>
    </row>
    <row r="1198" spans="4:8" ht="11.25" customHeight="1">
      <c r="D1198" s="163"/>
      <c r="E1198" s="163"/>
      <c r="F1198" s="163"/>
      <c r="G1198" s="163"/>
      <c r="H1198" s="163"/>
    </row>
    <row r="1199" spans="4:8" ht="11.25" customHeight="1">
      <c r="D1199" s="163"/>
      <c r="E1199" s="163"/>
      <c r="F1199" s="163"/>
      <c r="G1199" s="163"/>
      <c r="H1199" s="163"/>
    </row>
    <row r="1200" spans="4:8" ht="11.25" customHeight="1">
      <c r="D1200" s="163"/>
      <c r="E1200" s="163"/>
      <c r="F1200" s="163"/>
      <c r="G1200" s="163"/>
      <c r="H1200" s="163"/>
    </row>
    <row r="1201" spans="4:8" ht="11.25" customHeight="1">
      <c r="D1201" s="163"/>
      <c r="E1201" s="163"/>
      <c r="F1201" s="163"/>
      <c r="G1201" s="163"/>
      <c r="H1201" s="163"/>
    </row>
    <row r="1202" spans="4:8" ht="11.25" customHeight="1">
      <c r="D1202" s="163"/>
      <c r="E1202" s="163"/>
      <c r="F1202" s="163"/>
      <c r="G1202" s="163"/>
      <c r="H1202" s="163"/>
    </row>
    <row r="1203" spans="4:8" ht="11.25" customHeight="1">
      <c r="D1203" s="163"/>
      <c r="E1203" s="163"/>
      <c r="F1203" s="163"/>
      <c r="G1203" s="163"/>
      <c r="H1203" s="163"/>
    </row>
    <row r="1204" spans="4:8" ht="11.25" customHeight="1">
      <c r="D1204" s="163"/>
      <c r="E1204" s="163"/>
      <c r="F1204" s="163"/>
      <c r="G1204" s="163"/>
      <c r="H1204" s="163"/>
    </row>
    <row r="1205" spans="4:8" ht="11.25" customHeight="1">
      <c r="D1205" s="163"/>
      <c r="E1205" s="163"/>
      <c r="F1205" s="163"/>
      <c r="G1205" s="163"/>
      <c r="H1205" s="163"/>
    </row>
    <row r="1206" spans="4:8" ht="11.25" customHeight="1">
      <c r="D1206" s="163"/>
      <c r="E1206" s="163"/>
      <c r="F1206" s="163"/>
      <c r="G1206" s="163"/>
      <c r="H1206" s="163"/>
    </row>
    <row r="1207" spans="4:8" ht="11.25" customHeight="1">
      <c r="D1207" s="163"/>
      <c r="E1207" s="163"/>
      <c r="F1207" s="163"/>
      <c r="G1207" s="163"/>
      <c r="H1207" s="163"/>
    </row>
    <row r="1208" spans="4:8" ht="11.25" customHeight="1">
      <c r="D1208" s="163"/>
      <c r="E1208" s="163"/>
      <c r="F1208" s="163"/>
      <c r="G1208" s="163"/>
      <c r="H1208" s="163"/>
    </row>
    <row r="1209" spans="4:8" ht="11.25" customHeight="1">
      <c r="D1209" s="163"/>
      <c r="E1209" s="163"/>
      <c r="F1209" s="163"/>
      <c r="G1209" s="163"/>
      <c r="H1209" s="163"/>
    </row>
    <row r="1210" spans="4:8" ht="11.25" customHeight="1">
      <c r="D1210" s="163"/>
      <c r="E1210" s="163"/>
      <c r="F1210" s="163"/>
      <c r="G1210" s="163"/>
      <c r="H1210" s="163"/>
    </row>
    <row r="1211" spans="4:8" ht="11.25" customHeight="1">
      <c r="D1211" s="163"/>
      <c r="E1211" s="163"/>
      <c r="F1211" s="163"/>
      <c r="G1211" s="163"/>
      <c r="H1211" s="163"/>
    </row>
    <row r="1212" spans="4:8" ht="11.25" customHeight="1">
      <c r="D1212" s="163"/>
      <c r="E1212" s="163"/>
      <c r="F1212" s="163"/>
      <c r="G1212" s="163"/>
      <c r="H1212" s="163"/>
    </row>
    <row r="1213" spans="4:8" ht="11.25" customHeight="1">
      <c r="D1213" s="163"/>
      <c r="E1213" s="163"/>
      <c r="F1213" s="163"/>
      <c r="G1213" s="163"/>
      <c r="H1213" s="163"/>
    </row>
    <row r="1214" spans="4:8" ht="11.25" customHeight="1">
      <c r="D1214" s="163"/>
      <c r="E1214" s="163"/>
      <c r="F1214" s="163"/>
      <c r="G1214" s="163"/>
      <c r="H1214" s="163"/>
    </row>
    <row r="1215" spans="4:8" ht="11.25" customHeight="1">
      <c r="D1215" s="163"/>
      <c r="E1215" s="163"/>
      <c r="F1215" s="163"/>
      <c r="G1215" s="163"/>
      <c r="H1215" s="163"/>
    </row>
    <row r="1216" spans="4:8" ht="11.25" customHeight="1">
      <c r="D1216" s="163"/>
      <c r="E1216" s="163"/>
      <c r="F1216" s="163"/>
      <c r="G1216" s="163"/>
      <c r="H1216" s="163"/>
    </row>
    <row r="1217" spans="4:8" ht="11.25" customHeight="1">
      <c r="D1217" s="163"/>
      <c r="E1217" s="163"/>
      <c r="F1217" s="163"/>
      <c r="G1217" s="163"/>
      <c r="H1217" s="163"/>
    </row>
    <row r="1218" spans="4:8" ht="11.25" customHeight="1">
      <c r="D1218" s="163"/>
      <c r="E1218" s="163"/>
      <c r="F1218" s="163"/>
      <c r="G1218" s="163"/>
      <c r="H1218" s="163"/>
    </row>
    <row r="1219" spans="4:8" ht="11.25" customHeight="1">
      <c r="D1219" s="163"/>
      <c r="E1219" s="163"/>
      <c r="F1219" s="163"/>
      <c r="G1219" s="163"/>
      <c r="H1219" s="163"/>
    </row>
    <row r="1220" spans="4:8" ht="11.25" customHeight="1">
      <c r="D1220" s="163"/>
      <c r="E1220" s="163"/>
      <c r="F1220" s="163"/>
      <c r="G1220" s="163"/>
      <c r="H1220" s="163"/>
    </row>
    <row r="1221" spans="4:8" ht="11.25" customHeight="1">
      <c r="D1221" s="163"/>
      <c r="E1221" s="163"/>
      <c r="F1221" s="163"/>
      <c r="G1221" s="163"/>
      <c r="H1221" s="163"/>
    </row>
    <row r="1222" spans="4:8" ht="11.25" customHeight="1">
      <c r="D1222" s="163"/>
      <c r="E1222" s="163"/>
      <c r="F1222" s="163"/>
      <c r="G1222" s="163"/>
      <c r="H1222" s="163"/>
    </row>
    <row r="1223" spans="4:8" ht="11.25" customHeight="1">
      <c r="D1223" s="163"/>
      <c r="E1223" s="163"/>
      <c r="F1223" s="163"/>
      <c r="G1223" s="163"/>
      <c r="H1223" s="163"/>
    </row>
    <row r="1224" spans="4:8" ht="11.25" customHeight="1">
      <c r="D1224" s="163"/>
      <c r="E1224" s="163"/>
      <c r="F1224" s="163"/>
      <c r="G1224" s="163"/>
      <c r="H1224" s="163"/>
    </row>
    <row r="1225" spans="4:8" ht="11.25" customHeight="1">
      <c r="D1225" s="163"/>
      <c r="E1225" s="163"/>
      <c r="F1225" s="163"/>
      <c r="G1225" s="163"/>
      <c r="H1225" s="163"/>
    </row>
    <row r="1226" spans="4:8" ht="11.25" customHeight="1">
      <c r="D1226" s="163"/>
      <c r="E1226" s="163"/>
      <c r="F1226" s="163"/>
      <c r="G1226" s="163"/>
      <c r="H1226" s="163"/>
    </row>
    <row r="1227" spans="4:8" ht="11.25" customHeight="1">
      <c r="D1227" s="163"/>
      <c r="E1227" s="163"/>
      <c r="F1227" s="163"/>
      <c r="G1227" s="163"/>
      <c r="H1227" s="163"/>
    </row>
    <row r="1228" spans="4:8" ht="11.25" customHeight="1">
      <c r="D1228" s="163"/>
      <c r="E1228" s="163"/>
      <c r="F1228" s="163"/>
      <c r="G1228" s="163"/>
      <c r="H1228" s="163"/>
    </row>
    <row r="1229" spans="4:8" ht="11.25" customHeight="1">
      <c r="D1229" s="163"/>
      <c r="E1229" s="163"/>
      <c r="F1229" s="163"/>
      <c r="G1229" s="163"/>
      <c r="H1229" s="163"/>
    </row>
    <row r="1230" spans="4:8" ht="11.25" customHeight="1">
      <c r="D1230" s="163"/>
      <c r="E1230" s="163"/>
      <c r="F1230" s="163"/>
      <c r="G1230" s="163"/>
      <c r="H1230" s="163"/>
    </row>
    <row r="1231" spans="4:8" ht="11.25" customHeight="1">
      <c r="D1231" s="163"/>
      <c r="E1231" s="163"/>
      <c r="F1231" s="163"/>
      <c r="G1231" s="163"/>
      <c r="H1231" s="163"/>
    </row>
    <row r="1232" spans="4:8" ht="11.25" customHeight="1">
      <c r="D1232" s="163"/>
      <c r="E1232" s="163"/>
      <c r="F1232" s="163"/>
      <c r="G1232" s="163"/>
      <c r="H1232" s="163"/>
    </row>
    <row r="1233" spans="4:8" ht="11.25" customHeight="1">
      <c r="D1233" s="163"/>
      <c r="E1233" s="163"/>
      <c r="F1233" s="163"/>
      <c r="G1233" s="163"/>
      <c r="H1233" s="163"/>
    </row>
    <row r="1234" spans="4:8" ht="11.25" customHeight="1">
      <c r="D1234" s="163"/>
      <c r="E1234" s="163"/>
      <c r="F1234" s="163"/>
      <c r="G1234" s="163"/>
      <c r="H1234" s="163"/>
    </row>
    <row r="1235" spans="4:8" ht="11.25" customHeight="1">
      <c r="D1235" s="163"/>
      <c r="E1235" s="163"/>
      <c r="F1235" s="163"/>
      <c r="G1235" s="163"/>
      <c r="H1235" s="163"/>
    </row>
    <row r="1236" spans="4:8" ht="11.25" customHeight="1">
      <c r="D1236" s="163"/>
      <c r="E1236" s="163"/>
      <c r="F1236" s="163"/>
      <c r="G1236" s="163"/>
      <c r="H1236" s="163"/>
    </row>
    <row r="1237" spans="4:8" ht="11.25" customHeight="1">
      <c r="D1237" s="163"/>
      <c r="E1237" s="163"/>
      <c r="F1237" s="163"/>
      <c r="G1237" s="163"/>
      <c r="H1237" s="163"/>
    </row>
    <row r="1238" spans="4:8" ht="11.25" customHeight="1">
      <c r="D1238" s="163"/>
      <c r="E1238" s="163"/>
      <c r="F1238" s="163"/>
      <c r="G1238" s="163"/>
      <c r="H1238" s="163"/>
    </row>
    <row r="1239" spans="4:8" ht="11.25" customHeight="1">
      <c r="D1239" s="163"/>
      <c r="E1239" s="163"/>
      <c r="F1239" s="163"/>
      <c r="G1239" s="163"/>
      <c r="H1239" s="163"/>
    </row>
    <row r="1240" spans="4:8" ht="11.25" customHeight="1">
      <c r="D1240" s="163"/>
      <c r="E1240" s="163"/>
      <c r="F1240" s="163"/>
      <c r="G1240" s="163"/>
      <c r="H1240" s="163"/>
    </row>
    <row r="1241" spans="4:8" ht="11.25" customHeight="1">
      <c r="D1241" s="163"/>
      <c r="E1241" s="163"/>
      <c r="F1241" s="163"/>
      <c r="G1241" s="163"/>
      <c r="H1241" s="163"/>
    </row>
    <row r="1242" spans="4:8" ht="11.25" customHeight="1">
      <c r="D1242" s="163"/>
      <c r="E1242" s="163"/>
      <c r="F1242" s="163"/>
      <c r="G1242" s="163"/>
      <c r="H1242" s="163"/>
    </row>
    <row r="1243" spans="4:8" ht="11.25" customHeight="1">
      <c r="D1243" s="163"/>
      <c r="E1243" s="163"/>
      <c r="F1243" s="163"/>
      <c r="G1243" s="163"/>
      <c r="H1243" s="163"/>
    </row>
    <row r="1244" spans="4:8" ht="11.25" customHeight="1">
      <c r="D1244" s="163"/>
      <c r="E1244" s="163"/>
      <c r="F1244" s="163"/>
      <c r="G1244" s="163"/>
      <c r="H1244" s="163"/>
    </row>
    <row r="1245" spans="4:8" ht="11.25" customHeight="1">
      <c r="D1245" s="163"/>
      <c r="E1245" s="163"/>
      <c r="F1245" s="163"/>
      <c r="G1245" s="163"/>
      <c r="H1245" s="163"/>
    </row>
    <row r="1246" spans="4:8" ht="11.25" customHeight="1">
      <c r="D1246" s="163"/>
      <c r="E1246" s="163"/>
      <c r="F1246" s="163"/>
      <c r="G1246" s="163"/>
      <c r="H1246" s="163"/>
    </row>
    <row r="1247" spans="4:8" ht="11.25" customHeight="1">
      <c r="D1247" s="163"/>
      <c r="E1247" s="163"/>
      <c r="F1247" s="163"/>
      <c r="G1247" s="163"/>
      <c r="H1247" s="163"/>
    </row>
    <row r="1248" spans="4:8" ht="11.25" customHeight="1">
      <c r="D1248" s="163"/>
      <c r="E1248" s="163"/>
      <c r="F1248" s="163"/>
      <c r="G1248" s="163"/>
      <c r="H1248" s="163"/>
    </row>
    <row r="1249" spans="4:8" ht="11.25" customHeight="1">
      <c r="D1249" s="163"/>
      <c r="E1249" s="163"/>
      <c r="F1249" s="163"/>
      <c r="G1249" s="163"/>
      <c r="H1249" s="163"/>
    </row>
    <row r="1250" spans="4:8" ht="11.25" customHeight="1">
      <c r="D1250" s="163"/>
      <c r="E1250" s="163"/>
      <c r="F1250" s="163"/>
      <c r="G1250" s="163"/>
      <c r="H1250" s="163"/>
    </row>
    <row r="1251" spans="4:8" ht="11.25" customHeight="1">
      <c r="D1251" s="163"/>
      <c r="E1251" s="163"/>
      <c r="F1251" s="163"/>
      <c r="G1251" s="163"/>
      <c r="H1251" s="163"/>
    </row>
    <row r="1252" spans="4:8" ht="11.25" customHeight="1">
      <c r="D1252" s="163"/>
      <c r="E1252" s="163"/>
      <c r="F1252" s="163"/>
      <c r="G1252" s="163"/>
      <c r="H1252" s="163"/>
    </row>
    <row r="1253" spans="4:8" ht="11.25" customHeight="1">
      <c r="D1253" s="163"/>
      <c r="E1253" s="163"/>
      <c r="F1253" s="163"/>
      <c r="G1253" s="163"/>
      <c r="H1253" s="163"/>
    </row>
    <row r="1254" spans="4:8" ht="11.25" customHeight="1">
      <c r="D1254" s="163"/>
      <c r="E1254" s="163"/>
      <c r="F1254" s="163"/>
      <c r="G1254" s="163"/>
      <c r="H1254" s="163"/>
    </row>
    <row r="1255" spans="4:8" ht="11.25" customHeight="1">
      <c r="D1255" s="163"/>
      <c r="E1255" s="163"/>
      <c r="F1255" s="163"/>
      <c r="G1255" s="163"/>
      <c r="H1255" s="163"/>
    </row>
    <row r="1256" spans="4:8" ht="11.25" customHeight="1">
      <c r="D1256" s="163"/>
      <c r="E1256" s="163"/>
      <c r="F1256" s="163"/>
      <c r="G1256" s="163"/>
      <c r="H1256" s="163"/>
    </row>
    <row r="1257" spans="4:8" ht="11.25" customHeight="1">
      <c r="D1257" s="163"/>
      <c r="E1257" s="163"/>
      <c r="F1257" s="163"/>
      <c r="G1257" s="163"/>
      <c r="H1257" s="163"/>
    </row>
    <row r="1258" spans="4:8" ht="11.25" customHeight="1">
      <c r="D1258" s="163"/>
      <c r="E1258" s="163"/>
      <c r="F1258" s="163"/>
      <c r="G1258" s="163"/>
      <c r="H1258" s="163"/>
    </row>
    <row r="1259" spans="4:8" ht="11.25" customHeight="1">
      <c r="D1259" s="163"/>
      <c r="E1259" s="163"/>
      <c r="F1259" s="163"/>
      <c r="G1259" s="163"/>
      <c r="H1259" s="163"/>
    </row>
    <row r="1260" spans="4:8" ht="11.25" customHeight="1">
      <c r="D1260" s="163"/>
      <c r="E1260" s="163"/>
      <c r="F1260" s="163"/>
      <c r="G1260" s="163"/>
      <c r="H1260" s="163"/>
    </row>
    <row r="1261" spans="4:8" ht="11.25" customHeight="1">
      <c r="D1261" s="163"/>
      <c r="E1261" s="163"/>
      <c r="F1261" s="163"/>
      <c r="G1261" s="163"/>
      <c r="H1261" s="163"/>
    </row>
    <row r="1262" spans="4:8" ht="11.25" customHeight="1">
      <c r="D1262" s="163"/>
      <c r="E1262" s="163"/>
      <c r="F1262" s="163"/>
      <c r="G1262" s="163"/>
      <c r="H1262" s="163"/>
    </row>
    <row r="1263" spans="4:8" ht="11.25" customHeight="1">
      <c r="D1263" s="163"/>
      <c r="E1263" s="163"/>
      <c r="F1263" s="163"/>
      <c r="G1263" s="163"/>
      <c r="H1263" s="163"/>
    </row>
    <row r="1264" spans="4:8" ht="11.25" customHeight="1">
      <c r="D1264" s="163"/>
      <c r="E1264" s="163"/>
      <c r="F1264" s="163"/>
      <c r="G1264" s="163"/>
      <c r="H1264" s="163"/>
    </row>
    <row r="1265" spans="4:8" ht="11.25" customHeight="1">
      <c r="D1265" s="163"/>
      <c r="E1265" s="163"/>
      <c r="F1265" s="163"/>
      <c r="G1265" s="163"/>
      <c r="H1265" s="163"/>
    </row>
    <row r="1266" spans="4:8" ht="11.25" customHeight="1">
      <c r="D1266" s="163"/>
      <c r="E1266" s="163"/>
      <c r="F1266" s="163"/>
      <c r="G1266" s="163"/>
      <c r="H1266" s="163"/>
    </row>
    <row r="1267" spans="4:8" ht="11.25" customHeight="1">
      <c r="D1267" s="163"/>
      <c r="E1267" s="163"/>
      <c r="F1267" s="163"/>
      <c r="G1267" s="163"/>
      <c r="H1267" s="163"/>
    </row>
    <row r="1268" spans="4:8" ht="11.25" customHeight="1">
      <c r="D1268" s="163"/>
      <c r="E1268" s="163"/>
      <c r="F1268" s="163"/>
      <c r="G1268" s="163"/>
      <c r="H1268" s="163"/>
    </row>
    <row r="1269" spans="4:8" ht="11.25" customHeight="1">
      <c r="D1269" s="163"/>
      <c r="E1269" s="163"/>
      <c r="F1269" s="163"/>
      <c r="G1269" s="163"/>
      <c r="H1269" s="163"/>
    </row>
    <row r="1270" spans="4:8" ht="11.25" customHeight="1">
      <c r="D1270" s="163"/>
      <c r="E1270" s="163"/>
      <c r="F1270" s="163"/>
      <c r="G1270" s="163"/>
      <c r="H1270" s="163"/>
    </row>
    <row r="1271" spans="4:8" ht="11.25" customHeight="1">
      <c r="D1271" s="163"/>
      <c r="E1271" s="163"/>
      <c r="F1271" s="163"/>
      <c r="G1271" s="163"/>
      <c r="H1271" s="163"/>
    </row>
    <row r="1272" spans="4:8" ht="11.25" customHeight="1">
      <c r="D1272" s="163"/>
      <c r="E1272" s="163"/>
      <c r="F1272" s="163"/>
      <c r="G1272" s="163"/>
      <c r="H1272" s="163"/>
    </row>
    <row r="1273" spans="4:8" ht="11.25" customHeight="1">
      <c r="D1273" s="163"/>
      <c r="E1273" s="163"/>
      <c r="F1273" s="163"/>
      <c r="G1273" s="163"/>
      <c r="H1273" s="163"/>
    </row>
    <row r="1274" spans="4:8" ht="11.25" customHeight="1">
      <c r="D1274" s="163"/>
      <c r="E1274" s="163"/>
      <c r="F1274" s="163"/>
      <c r="G1274" s="163"/>
      <c r="H1274" s="163"/>
    </row>
    <row r="1275" spans="4:8" ht="11.25" customHeight="1">
      <c r="D1275" s="163"/>
      <c r="E1275" s="163"/>
      <c r="F1275" s="163"/>
      <c r="G1275" s="163"/>
      <c r="H1275" s="163"/>
    </row>
    <row r="1276" spans="4:8" ht="11.25" customHeight="1">
      <c r="D1276" s="163"/>
      <c r="E1276" s="163"/>
      <c r="F1276" s="163"/>
      <c r="G1276" s="163"/>
      <c r="H1276" s="163"/>
    </row>
    <row r="1277" spans="4:8" ht="11.25" customHeight="1">
      <c r="D1277" s="163"/>
      <c r="E1277" s="163"/>
      <c r="F1277" s="163"/>
      <c r="G1277" s="163"/>
      <c r="H1277" s="163"/>
    </row>
    <row r="1278" spans="4:8" ht="11.25" customHeight="1">
      <c r="D1278" s="163"/>
      <c r="E1278" s="163"/>
      <c r="F1278" s="163"/>
      <c r="G1278" s="163"/>
      <c r="H1278" s="163"/>
    </row>
    <row r="1279" spans="4:8" ht="11.25" customHeight="1">
      <c r="D1279" s="163"/>
      <c r="E1279" s="163"/>
      <c r="F1279" s="163"/>
      <c r="G1279" s="163"/>
      <c r="H1279" s="163"/>
    </row>
    <row r="1280" spans="4:8" ht="11.25" customHeight="1">
      <c r="D1280" s="163"/>
      <c r="E1280" s="163"/>
      <c r="F1280" s="163"/>
      <c r="G1280" s="163"/>
      <c r="H1280" s="163"/>
    </row>
    <row r="1281" spans="4:8" ht="11.25" customHeight="1">
      <c r="D1281" s="163"/>
      <c r="E1281" s="163"/>
      <c r="F1281" s="163"/>
      <c r="G1281" s="163"/>
      <c r="H1281" s="163"/>
    </row>
    <row r="1282" spans="4:8" ht="11.25" customHeight="1">
      <c r="D1282" s="163"/>
      <c r="E1282" s="163"/>
      <c r="F1282" s="163"/>
      <c r="G1282" s="163"/>
      <c r="H1282" s="163"/>
    </row>
    <row r="1283" spans="4:8" ht="11.25" customHeight="1">
      <c r="D1283" s="163"/>
      <c r="E1283" s="163"/>
      <c r="F1283" s="163"/>
      <c r="G1283" s="163"/>
      <c r="H1283" s="163"/>
    </row>
    <row r="1284" spans="4:8" ht="11.25" customHeight="1">
      <c r="D1284" s="163"/>
      <c r="E1284" s="163"/>
      <c r="F1284" s="163"/>
      <c r="G1284" s="163"/>
      <c r="H1284" s="163"/>
    </row>
    <row r="1285" spans="4:8" ht="11.25" customHeight="1">
      <c r="D1285" s="163"/>
      <c r="E1285" s="163"/>
      <c r="F1285" s="163"/>
      <c r="G1285" s="163"/>
      <c r="H1285" s="163"/>
    </row>
    <row r="1286" spans="4:8" ht="11.25" customHeight="1">
      <c r="D1286" s="163"/>
      <c r="E1286" s="163"/>
      <c r="F1286" s="163"/>
      <c r="G1286" s="163"/>
      <c r="H1286" s="163"/>
    </row>
    <row r="1287" spans="4:8" ht="11.25" customHeight="1">
      <c r="D1287" s="163"/>
      <c r="E1287" s="163"/>
      <c r="F1287" s="163"/>
      <c r="G1287" s="163"/>
      <c r="H1287" s="163"/>
    </row>
    <row r="1288" spans="4:8" ht="11.25" customHeight="1">
      <c r="D1288" s="163"/>
      <c r="E1288" s="163"/>
      <c r="F1288" s="163"/>
      <c r="G1288" s="163"/>
      <c r="H1288" s="163"/>
    </row>
    <row r="1289" spans="4:8" ht="11.25" customHeight="1">
      <c r="D1289" s="163"/>
      <c r="E1289" s="163"/>
      <c r="F1289" s="163"/>
      <c r="G1289" s="163"/>
      <c r="H1289" s="163"/>
    </row>
    <row r="1290" spans="4:8" ht="11.25" customHeight="1">
      <c r="D1290" s="163"/>
      <c r="E1290" s="163"/>
      <c r="F1290" s="163"/>
      <c r="G1290" s="163"/>
      <c r="H1290" s="163"/>
    </row>
    <row r="1291" spans="4:8" ht="11.25" customHeight="1">
      <c r="D1291" s="163"/>
      <c r="E1291" s="163"/>
      <c r="F1291" s="163"/>
      <c r="G1291" s="163"/>
      <c r="H1291" s="163"/>
    </row>
    <row r="1292" spans="4:8" ht="11.25" customHeight="1">
      <c r="D1292" s="163"/>
      <c r="E1292" s="163"/>
      <c r="F1292" s="163"/>
      <c r="G1292" s="163"/>
      <c r="H1292" s="163"/>
    </row>
    <row r="1293" spans="4:8" ht="11.25" customHeight="1">
      <c r="D1293" s="163"/>
      <c r="E1293" s="163"/>
      <c r="F1293" s="163"/>
      <c r="G1293" s="163"/>
      <c r="H1293" s="163"/>
    </row>
    <row r="1294" spans="4:8" ht="11.25" customHeight="1">
      <c r="D1294" s="163"/>
      <c r="E1294" s="163"/>
      <c r="F1294" s="163"/>
      <c r="G1294" s="163"/>
      <c r="H1294" s="163"/>
    </row>
    <row r="1295" spans="4:8" ht="11.25" customHeight="1">
      <c r="D1295" s="163"/>
      <c r="E1295" s="163"/>
      <c r="F1295" s="163"/>
      <c r="G1295" s="163"/>
      <c r="H1295" s="163"/>
    </row>
    <row r="1296" spans="4:8" ht="11.25" customHeight="1">
      <c r="D1296" s="163"/>
      <c r="E1296" s="163"/>
      <c r="F1296" s="163"/>
      <c r="G1296" s="163"/>
      <c r="H1296" s="163"/>
    </row>
    <row r="1297" spans="4:8" ht="11.25" customHeight="1">
      <c r="D1297" s="163"/>
      <c r="E1297" s="163"/>
      <c r="F1297" s="163"/>
      <c r="G1297" s="163"/>
      <c r="H1297" s="163"/>
    </row>
    <row r="1298" spans="4:8" ht="11.25" customHeight="1">
      <c r="D1298" s="163"/>
      <c r="E1298" s="163"/>
      <c r="F1298" s="163"/>
      <c r="G1298" s="163"/>
      <c r="H1298" s="163"/>
    </row>
    <row r="1299" spans="4:8" ht="11.25" customHeight="1">
      <c r="D1299" s="163"/>
      <c r="E1299" s="163"/>
      <c r="F1299" s="163"/>
      <c r="G1299" s="163"/>
      <c r="H1299" s="163"/>
    </row>
    <row r="1300" spans="4:8" ht="11.25" customHeight="1">
      <c r="D1300" s="163"/>
      <c r="E1300" s="163"/>
      <c r="F1300" s="163"/>
      <c r="G1300" s="163"/>
      <c r="H1300" s="163"/>
    </row>
    <row r="1301" spans="4:8" ht="11.25" customHeight="1">
      <c r="D1301" s="163"/>
      <c r="E1301" s="163"/>
      <c r="F1301" s="163"/>
      <c r="G1301" s="163"/>
      <c r="H1301" s="163"/>
    </row>
    <row r="1302" spans="4:8" ht="11.25" customHeight="1">
      <c r="D1302" s="163"/>
      <c r="E1302" s="163"/>
      <c r="F1302" s="163"/>
      <c r="G1302" s="163"/>
      <c r="H1302" s="163"/>
    </row>
    <row r="1303" spans="4:8" ht="11.25" customHeight="1">
      <c r="D1303" s="163"/>
      <c r="E1303" s="163"/>
      <c r="F1303" s="163"/>
      <c r="G1303" s="163"/>
      <c r="H1303" s="163"/>
    </row>
    <row r="1304" spans="4:8" ht="11.25" customHeight="1">
      <c r="D1304" s="163"/>
      <c r="E1304" s="163"/>
      <c r="F1304" s="163"/>
      <c r="G1304" s="163"/>
      <c r="H1304" s="163"/>
    </row>
    <row r="1305" spans="4:8" ht="11.25" customHeight="1">
      <c r="D1305" s="163"/>
      <c r="E1305" s="163"/>
      <c r="F1305" s="163"/>
      <c r="G1305" s="163"/>
      <c r="H1305" s="163"/>
    </row>
    <row r="1306" spans="4:8" ht="11.25" customHeight="1">
      <c r="D1306" s="163"/>
      <c r="E1306" s="163"/>
      <c r="F1306" s="163"/>
      <c r="G1306" s="163"/>
      <c r="H1306" s="163"/>
    </row>
    <row r="1307" spans="4:8" ht="11.25" customHeight="1">
      <c r="D1307" s="163"/>
      <c r="E1307" s="163"/>
      <c r="F1307" s="163"/>
      <c r="G1307" s="163"/>
      <c r="H1307" s="163"/>
    </row>
    <row r="1308" spans="4:8" ht="11.25" customHeight="1">
      <c r="D1308" s="163"/>
      <c r="E1308" s="163"/>
      <c r="F1308" s="163"/>
      <c r="G1308" s="163"/>
      <c r="H1308" s="163"/>
    </row>
    <row r="1309" spans="4:8" ht="11.25" customHeight="1">
      <c r="D1309" s="163"/>
      <c r="E1309" s="163"/>
      <c r="F1309" s="163"/>
      <c r="G1309" s="163"/>
      <c r="H1309" s="163"/>
    </row>
    <row r="1310" spans="4:8" ht="11.25" customHeight="1">
      <c r="D1310" s="163"/>
      <c r="E1310" s="163"/>
      <c r="F1310" s="163"/>
      <c r="G1310" s="163"/>
      <c r="H1310" s="163"/>
    </row>
    <row r="1311" spans="4:8" ht="11.25" customHeight="1">
      <c r="D1311" s="163"/>
      <c r="E1311" s="163"/>
      <c r="F1311" s="163"/>
      <c r="G1311" s="163"/>
      <c r="H1311" s="163"/>
    </row>
    <row r="1312" spans="4:8" ht="11.25" customHeight="1">
      <c r="D1312" s="163"/>
      <c r="E1312" s="163"/>
      <c r="F1312" s="163"/>
      <c r="G1312" s="163"/>
      <c r="H1312" s="163"/>
    </row>
    <row r="1313" spans="4:8" ht="11.25" customHeight="1">
      <c r="D1313" s="163"/>
      <c r="E1313" s="163"/>
      <c r="F1313" s="163"/>
      <c r="G1313" s="163"/>
      <c r="H1313" s="163"/>
    </row>
    <row r="1314" spans="4:8" ht="11.25" customHeight="1">
      <c r="D1314" s="163"/>
      <c r="E1314" s="163"/>
      <c r="F1314" s="163"/>
      <c r="G1314" s="163"/>
      <c r="H1314" s="163"/>
    </row>
    <row r="1315" spans="4:8" ht="11.25" customHeight="1">
      <c r="D1315" s="163"/>
      <c r="E1315" s="163"/>
      <c r="F1315" s="163"/>
      <c r="G1315" s="163"/>
      <c r="H1315" s="163"/>
    </row>
    <row r="1316" spans="4:8" ht="11.25" customHeight="1">
      <c r="D1316" s="163"/>
      <c r="E1316" s="163"/>
      <c r="F1316" s="163"/>
      <c r="G1316" s="163"/>
      <c r="H1316" s="163"/>
    </row>
    <row r="1317" spans="4:8" ht="11.25" customHeight="1">
      <c r="D1317" s="163"/>
      <c r="E1317" s="163"/>
      <c r="F1317" s="163"/>
      <c r="G1317" s="163"/>
      <c r="H1317" s="163"/>
    </row>
    <row r="1318" spans="4:8" ht="11.25" customHeight="1">
      <c r="D1318" s="163"/>
      <c r="E1318" s="163"/>
      <c r="F1318" s="163"/>
      <c r="G1318" s="163"/>
      <c r="H1318" s="163"/>
    </row>
    <row r="1319" spans="4:8" ht="11.25" customHeight="1">
      <c r="D1319" s="163"/>
      <c r="E1319" s="163"/>
      <c r="F1319" s="163"/>
      <c r="G1319" s="163"/>
      <c r="H1319" s="163"/>
    </row>
    <row r="1320" spans="4:8" ht="11.25" customHeight="1">
      <c r="D1320" s="163"/>
      <c r="E1320" s="163"/>
      <c r="F1320" s="163"/>
      <c r="G1320" s="163"/>
      <c r="H1320" s="163"/>
    </row>
    <row r="1321" spans="4:8" ht="11.25" customHeight="1">
      <c r="D1321" s="163"/>
      <c r="E1321" s="163"/>
      <c r="F1321" s="163"/>
      <c r="G1321" s="163"/>
      <c r="H1321" s="163"/>
    </row>
    <row r="1322" spans="4:8" ht="11.25" customHeight="1">
      <c r="D1322" s="163"/>
      <c r="E1322" s="163"/>
      <c r="F1322" s="163"/>
      <c r="G1322" s="163"/>
      <c r="H1322" s="163"/>
    </row>
    <row r="1323" spans="4:8" ht="11.25" customHeight="1">
      <c r="D1323" s="163"/>
      <c r="E1323" s="163"/>
      <c r="F1323" s="163"/>
      <c r="G1323" s="163"/>
      <c r="H1323" s="163"/>
    </row>
    <row r="1324" spans="4:8" ht="11.25" customHeight="1">
      <c r="D1324" s="163"/>
      <c r="E1324" s="163"/>
      <c r="F1324" s="163"/>
      <c r="G1324" s="163"/>
      <c r="H1324" s="163"/>
    </row>
    <row r="1325" spans="4:8" ht="11.25" customHeight="1">
      <c r="D1325" s="163"/>
      <c r="E1325" s="163"/>
      <c r="F1325" s="163"/>
      <c r="G1325" s="163"/>
      <c r="H1325" s="163"/>
    </row>
    <row r="1326" spans="4:8" ht="11.25" customHeight="1">
      <c r="D1326" s="163"/>
      <c r="E1326" s="163"/>
      <c r="F1326" s="163"/>
      <c r="G1326" s="163"/>
      <c r="H1326" s="163"/>
    </row>
    <row r="1327" spans="4:8" ht="11.25" customHeight="1">
      <c r="D1327" s="163"/>
      <c r="E1327" s="163"/>
      <c r="F1327" s="163"/>
      <c r="G1327" s="163"/>
      <c r="H1327" s="163"/>
    </row>
    <row r="1328" spans="4:8" ht="11.25" customHeight="1">
      <c r="D1328" s="163"/>
      <c r="E1328" s="163"/>
      <c r="F1328" s="163"/>
      <c r="G1328" s="163"/>
      <c r="H1328" s="163"/>
    </row>
    <row r="1329" spans="4:8" ht="11.25" customHeight="1">
      <c r="D1329" s="163"/>
      <c r="E1329" s="163"/>
      <c r="F1329" s="163"/>
      <c r="G1329" s="163"/>
      <c r="H1329" s="163"/>
    </row>
    <row r="1330" spans="4:8" ht="11.25" customHeight="1">
      <c r="D1330" s="163"/>
      <c r="E1330" s="163"/>
      <c r="F1330" s="163"/>
      <c r="G1330" s="163"/>
      <c r="H1330" s="163"/>
    </row>
    <row r="1331" spans="4:8" ht="11.25" customHeight="1">
      <c r="D1331" s="163"/>
      <c r="E1331" s="163"/>
      <c r="F1331" s="163"/>
      <c r="G1331" s="163"/>
      <c r="H1331" s="163"/>
    </row>
    <row r="1332" spans="4:8" ht="11.25" customHeight="1">
      <c r="D1332" s="163"/>
      <c r="E1332" s="163"/>
      <c r="F1332" s="163"/>
      <c r="G1332" s="163"/>
      <c r="H1332" s="163"/>
    </row>
    <row r="1333" spans="4:8" ht="11.25" customHeight="1">
      <c r="D1333" s="163"/>
      <c r="E1333" s="163"/>
      <c r="F1333" s="163"/>
      <c r="G1333" s="163"/>
      <c r="H1333" s="163"/>
    </row>
    <row r="1334" spans="4:8" ht="11.25" customHeight="1">
      <c r="D1334" s="163"/>
      <c r="E1334" s="163"/>
      <c r="F1334" s="163"/>
      <c r="G1334" s="163"/>
      <c r="H1334" s="163"/>
    </row>
    <row r="1335" spans="4:8" ht="11.25" customHeight="1">
      <c r="D1335" s="163"/>
      <c r="E1335" s="163"/>
      <c r="F1335" s="163"/>
      <c r="G1335" s="163"/>
      <c r="H1335" s="163"/>
    </row>
    <row r="1336" spans="4:8" ht="11.25" customHeight="1">
      <c r="D1336" s="163"/>
      <c r="E1336" s="163"/>
      <c r="F1336" s="163"/>
      <c r="G1336" s="163"/>
      <c r="H1336" s="163"/>
    </row>
    <row r="1337" spans="4:8" ht="11.25" customHeight="1">
      <c r="D1337" s="163"/>
      <c r="E1337" s="163"/>
      <c r="F1337" s="163"/>
      <c r="G1337" s="163"/>
      <c r="H1337" s="163"/>
    </row>
    <row r="1338" spans="4:8" ht="11.25" customHeight="1">
      <c r="D1338" s="163"/>
      <c r="E1338" s="163"/>
      <c r="F1338" s="163"/>
      <c r="G1338" s="163"/>
      <c r="H1338" s="163"/>
    </row>
    <row r="1339" spans="4:8" ht="11.25" customHeight="1">
      <c r="D1339" s="163"/>
      <c r="E1339" s="163"/>
      <c r="F1339" s="163"/>
      <c r="G1339" s="163"/>
      <c r="H1339" s="163"/>
    </row>
    <row r="1340" spans="4:8" ht="11.25" customHeight="1">
      <c r="D1340" s="163"/>
      <c r="E1340" s="163"/>
      <c r="F1340" s="163"/>
      <c r="G1340" s="163"/>
      <c r="H1340" s="163"/>
    </row>
    <row r="1341" spans="4:8" ht="11.25" customHeight="1">
      <c r="D1341" s="163"/>
      <c r="E1341" s="163"/>
      <c r="F1341" s="163"/>
      <c r="G1341" s="163"/>
      <c r="H1341" s="163"/>
    </row>
    <row r="1342" spans="4:8" ht="11.25" customHeight="1">
      <c r="D1342" s="163"/>
      <c r="E1342" s="163"/>
      <c r="F1342" s="163"/>
      <c r="G1342" s="163"/>
      <c r="H1342" s="163"/>
    </row>
    <row r="1343" spans="4:8" ht="11.25" customHeight="1">
      <c r="D1343" s="163"/>
      <c r="E1343" s="163"/>
      <c r="F1343" s="163"/>
      <c r="G1343" s="163"/>
      <c r="H1343" s="163"/>
    </row>
    <row r="1344" spans="4:8" ht="11.25" customHeight="1">
      <c r="D1344" s="163"/>
      <c r="E1344" s="163"/>
      <c r="F1344" s="163"/>
      <c r="G1344" s="163"/>
      <c r="H1344" s="163"/>
    </row>
    <row r="1345" spans="4:8" ht="11.25" customHeight="1">
      <c r="D1345" s="163"/>
      <c r="E1345" s="163"/>
      <c r="F1345" s="163"/>
      <c r="G1345" s="163"/>
      <c r="H1345" s="163"/>
    </row>
    <row r="1346" spans="4:8" ht="11.25" customHeight="1">
      <c r="D1346" s="163"/>
      <c r="E1346" s="163"/>
      <c r="F1346" s="163"/>
      <c r="G1346" s="163"/>
      <c r="H1346" s="163"/>
    </row>
    <row r="1347" spans="4:8" ht="11.25" customHeight="1">
      <c r="D1347" s="163"/>
      <c r="E1347" s="163"/>
      <c r="F1347" s="163"/>
      <c r="G1347" s="163"/>
      <c r="H1347" s="163"/>
    </row>
    <row r="1348" spans="4:8" ht="11.25" customHeight="1">
      <c r="D1348" s="163"/>
      <c r="E1348" s="163"/>
      <c r="F1348" s="163"/>
      <c r="G1348" s="163"/>
      <c r="H1348" s="163"/>
    </row>
    <row r="1349" spans="4:8" ht="11.25" customHeight="1">
      <c r="D1349" s="163"/>
      <c r="E1349" s="163"/>
      <c r="F1349" s="163"/>
      <c r="G1349" s="163"/>
      <c r="H1349" s="163"/>
    </row>
    <row r="1350" spans="4:8" ht="11.25" customHeight="1">
      <c r="D1350" s="163"/>
      <c r="E1350" s="163"/>
      <c r="F1350" s="163"/>
      <c r="G1350" s="163"/>
      <c r="H1350" s="163"/>
    </row>
    <row r="1351" spans="4:8" ht="11.25" customHeight="1">
      <c r="D1351" s="163"/>
      <c r="E1351" s="163"/>
      <c r="F1351" s="163"/>
      <c r="G1351" s="163"/>
      <c r="H1351" s="163"/>
    </row>
    <row r="1352" spans="4:8" ht="11.25" customHeight="1">
      <c r="D1352" s="163"/>
      <c r="E1352" s="163"/>
      <c r="F1352" s="163"/>
      <c r="G1352" s="163"/>
      <c r="H1352" s="163"/>
    </row>
    <row r="1353" spans="4:8" ht="11.25" customHeight="1">
      <c r="D1353" s="163"/>
      <c r="E1353" s="163"/>
      <c r="F1353" s="163"/>
      <c r="G1353" s="163"/>
      <c r="H1353" s="163"/>
    </row>
    <row r="1354" spans="4:8" ht="11.25" customHeight="1">
      <c r="D1354" s="163"/>
      <c r="E1354" s="163"/>
      <c r="F1354" s="163"/>
      <c r="G1354" s="163"/>
      <c r="H1354" s="163"/>
    </row>
    <row r="1355" spans="4:8" ht="11.25" customHeight="1">
      <c r="D1355" s="163"/>
      <c r="E1355" s="163"/>
      <c r="F1355" s="163"/>
      <c r="G1355" s="163"/>
      <c r="H1355" s="163"/>
    </row>
    <row r="1356" spans="4:8" ht="11.25" customHeight="1">
      <c r="D1356" s="163"/>
      <c r="E1356" s="163"/>
      <c r="F1356" s="163"/>
      <c r="G1356" s="163"/>
      <c r="H1356" s="163"/>
    </row>
    <row r="1357" spans="4:8" ht="11.25" customHeight="1">
      <c r="D1357" s="163"/>
      <c r="E1357" s="163"/>
      <c r="F1357" s="163"/>
      <c r="G1357" s="163"/>
      <c r="H1357" s="163"/>
    </row>
    <row r="1358" spans="4:8" ht="11.25" customHeight="1">
      <c r="D1358" s="163"/>
      <c r="E1358" s="163"/>
      <c r="F1358" s="163"/>
      <c r="G1358" s="163"/>
      <c r="H1358" s="163"/>
    </row>
    <row r="1359" spans="4:8" ht="11.25" customHeight="1">
      <c r="D1359" s="163"/>
      <c r="E1359" s="163"/>
      <c r="F1359" s="163"/>
      <c r="G1359" s="163"/>
      <c r="H1359" s="163"/>
    </row>
    <row r="1360" spans="4:8" ht="11.25" customHeight="1">
      <c r="D1360" s="163"/>
      <c r="E1360" s="163"/>
      <c r="F1360" s="163"/>
      <c r="G1360" s="163"/>
      <c r="H1360" s="163"/>
    </row>
    <row r="1361" spans="4:8" ht="11.25" customHeight="1">
      <c r="D1361" s="163"/>
      <c r="E1361" s="163"/>
      <c r="F1361" s="163"/>
      <c r="G1361" s="163"/>
      <c r="H1361" s="163"/>
    </row>
    <row r="1362" spans="4:8" ht="11.25" customHeight="1">
      <c r="D1362" s="163"/>
      <c r="E1362" s="163"/>
      <c r="F1362" s="163"/>
      <c r="G1362" s="163"/>
      <c r="H1362" s="163"/>
    </row>
    <row r="1363" spans="4:8" ht="11.25" customHeight="1">
      <c r="D1363" s="163"/>
      <c r="E1363" s="163"/>
      <c r="F1363" s="163"/>
      <c r="G1363" s="163"/>
      <c r="H1363" s="163"/>
    </row>
    <row r="1364" spans="4:8" ht="11.25" customHeight="1">
      <c r="D1364" s="163"/>
      <c r="E1364" s="163"/>
      <c r="F1364" s="163"/>
      <c r="G1364" s="163"/>
      <c r="H1364" s="163"/>
    </row>
    <row r="1365" spans="4:8" ht="11.25" customHeight="1">
      <c r="D1365" s="163"/>
      <c r="E1365" s="163"/>
      <c r="F1365" s="163"/>
      <c r="G1365" s="163"/>
      <c r="H1365" s="163"/>
    </row>
    <row r="1366" spans="4:8" ht="11.25" customHeight="1">
      <c r="D1366" s="163"/>
      <c r="E1366" s="163"/>
      <c r="F1366" s="163"/>
      <c r="G1366" s="163"/>
      <c r="H1366" s="163"/>
    </row>
    <row r="1367" spans="4:8" ht="11.25" customHeight="1">
      <c r="D1367" s="163"/>
      <c r="E1367" s="163"/>
      <c r="F1367" s="163"/>
      <c r="G1367" s="163"/>
      <c r="H1367" s="163"/>
    </row>
    <row r="1368" spans="4:8" ht="11.25" customHeight="1">
      <c r="D1368" s="163"/>
      <c r="E1368" s="163"/>
      <c r="F1368" s="163"/>
      <c r="G1368" s="163"/>
      <c r="H1368" s="163"/>
    </row>
    <row r="1369" spans="4:8" ht="11.25" customHeight="1">
      <c r="D1369" s="163"/>
      <c r="E1369" s="163"/>
      <c r="F1369" s="163"/>
      <c r="G1369" s="163"/>
      <c r="H1369" s="163"/>
    </row>
    <row r="1370" spans="4:8" ht="11.25" customHeight="1">
      <c r="D1370" s="163"/>
      <c r="E1370" s="163"/>
      <c r="F1370" s="163"/>
      <c r="G1370" s="163"/>
      <c r="H1370" s="163"/>
    </row>
    <row r="1371" spans="4:8" ht="11.25" customHeight="1">
      <c r="D1371" s="163"/>
      <c r="E1371" s="163"/>
      <c r="F1371" s="163"/>
      <c r="G1371" s="163"/>
      <c r="H1371" s="163"/>
    </row>
    <row r="1372" spans="4:8" ht="11.25" customHeight="1">
      <c r="D1372" s="163"/>
      <c r="E1372" s="163"/>
      <c r="F1372" s="163"/>
      <c r="G1372" s="163"/>
      <c r="H1372" s="163"/>
    </row>
    <row r="1373" spans="4:8" ht="11.25" customHeight="1">
      <c r="D1373" s="163"/>
      <c r="E1373" s="163"/>
      <c r="F1373" s="163"/>
      <c r="G1373" s="163"/>
      <c r="H1373" s="163"/>
    </row>
    <row r="1374" spans="4:8" ht="11.25" customHeight="1">
      <c r="D1374" s="163"/>
      <c r="E1374" s="163"/>
      <c r="F1374" s="163"/>
      <c r="G1374" s="163"/>
      <c r="H1374" s="163"/>
    </row>
    <row r="1375" spans="4:8" ht="11.25" customHeight="1">
      <c r="D1375" s="163"/>
      <c r="E1375" s="163"/>
      <c r="F1375" s="163"/>
      <c r="G1375" s="163"/>
      <c r="H1375" s="163"/>
    </row>
    <row r="1376" spans="4:8" ht="11.25" customHeight="1">
      <c r="D1376" s="163"/>
      <c r="E1376" s="163"/>
      <c r="F1376" s="163"/>
      <c r="G1376" s="163"/>
      <c r="H1376" s="163"/>
    </row>
    <row r="1377" spans="4:8" ht="11.25" customHeight="1">
      <c r="D1377" s="163"/>
      <c r="E1377" s="163"/>
      <c r="F1377" s="163"/>
      <c r="G1377" s="163"/>
      <c r="H1377" s="163"/>
    </row>
    <row r="1378" spans="4:8" ht="11.25" customHeight="1">
      <c r="D1378" s="163"/>
      <c r="E1378" s="163"/>
      <c r="F1378" s="163"/>
      <c r="G1378" s="163"/>
      <c r="H1378" s="163"/>
    </row>
    <row r="1379" spans="4:8" ht="11.25" customHeight="1">
      <c r="D1379" s="163"/>
      <c r="E1379" s="163"/>
      <c r="F1379" s="163"/>
      <c r="G1379" s="163"/>
      <c r="H1379" s="163"/>
    </row>
    <row r="1380" spans="4:8" ht="11.25" customHeight="1">
      <c r="D1380" s="163"/>
      <c r="E1380" s="163"/>
      <c r="F1380" s="163"/>
      <c r="G1380" s="163"/>
      <c r="H1380" s="163"/>
    </row>
    <row r="1381" spans="4:8" ht="11.25" customHeight="1">
      <c r="D1381" s="163"/>
      <c r="E1381" s="163"/>
      <c r="F1381" s="163"/>
      <c r="G1381" s="163"/>
      <c r="H1381" s="163"/>
    </row>
    <row r="1382" spans="4:8" ht="11.25" customHeight="1">
      <c r="D1382" s="163"/>
      <c r="E1382" s="163"/>
      <c r="F1382" s="163"/>
      <c r="G1382" s="163"/>
      <c r="H1382" s="163"/>
    </row>
    <row r="1383" spans="4:8" ht="11.25" customHeight="1">
      <c r="D1383" s="163"/>
      <c r="E1383" s="163"/>
      <c r="F1383" s="163"/>
      <c r="G1383" s="163"/>
      <c r="H1383" s="163"/>
    </row>
    <row r="1384" spans="4:8" ht="11.25" customHeight="1">
      <c r="D1384" s="163"/>
      <c r="E1384" s="163"/>
      <c r="F1384" s="163"/>
      <c r="G1384" s="163"/>
      <c r="H1384" s="163"/>
    </row>
    <row r="1385" spans="4:8" ht="11.25" customHeight="1">
      <c r="D1385" s="163"/>
      <c r="E1385" s="163"/>
      <c r="F1385" s="163"/>
      <c r="G1385" s="163"/>
      <c r="H1385" s="163"/>
    </row>
    <row r="1386" spans="4:8" ht="11.25" customHeight="1">
      <c r="D1386" s="163"/>
      <c r="E1386" s="163"/>
      <c r="F1386" s="163"/>
      <c r="G1386" s="163"/>
      <c r="H1386" s="163"/>
    </row>
    <row r="1387" spans="4:8" ht="11.25" customHeight="1">
      <c r="D1387" s="163"/>
      <c r="E1387" s="163"/>
      <c r="F1387" s="163"/>
      <c r="G1387" s="163"/>
      <c r="H1387" s="163"/>
    </row>
    <row r="1388" spans="4:8" ht="11.25" customHeight="1">
      <c r="D1388" s="163"/>
      <c r="E1388" s="163"/>
      <c r="F1388" s="163"/>
      <c r="G1388" s="163"/>
      <c r="H1388" s="163"/>
    </row>
    <row r="1389" spans="4:8" ht="11.25" customHeight="1">
      <c r="D1389" s="163"/>
      <c r="E1389" s="163"/>
      <c r="F1389" s="163"/>
      <c r="G1389" s="163"/>
      <c r="H1389" s="163"/>
    </row>
    <row r="1390" spans="4:8" ht="11.25" customHeight="1">
      <c r="D1390" s="163"/>
      <c r="E1390" s="163"/>
      <c r="F1390" s="163"/>
      <c r="G1390" s="163"/>
      <c r="H1390" s="163"/>
    </row>
    <row r="1391" spans="4:8" ht="11.25" customHeight="1">
      <c r="D1391" s="163"/>
      <c r="E1391" s="163"/>
      <c r="F1391" s="163"/>
      <c r="G1391" s="163"/>
      <c r="H1391" s="163"/>
    </row>
    <row r="1392" spans="4:8" ht="11.25" customHeight="1">
      <c r="D1392" s="163"/>
      <c r="E1392" s="163"/>
      <c r="F1392" s="163"/>
      <c r="G1392" s="163"/>
      <c r="H1392" s="163"/>
    </row>
    <row r="1393" spans="4:8" ht="11.25" customHeight="1">
      <c r="D1393" s="163"/>
      <c r="E1393" s="163"/>
      <c r="F1393" s="163"/>
      <c r="G1393" s="163"/>
      <c r="H1393" s="163"/>
    </row>
    <row r="1394" spans="4:8" ht="11.25" customHeight="1">
      <c r="D1394" s="163"/>
      <c r="E1394" s="163"/>
      <c r="F1394" s="163"/>
      <c r="G1394" s="163"/>
      <c r="H1394" s="163"/>
    </row>
    <row r="1395" spans="4:8" ht="11.25" customHeight="1">
      <c r="D1395" s="163"/>
      <c r="E1395" s="163"/>
      <c r="F1395" s="163"/>
      <c r="G1395" s="163"/>
      <c r="H1395" s="163"/>
    </row>
    <row r="1396" spans="4:8" ht="11.25" customHeight="1">
      <c r="D1396" s="163"/>
      <c r="E1396" s="163"/>
      <c r="F1396" s="163"/>
      <c r="G1396" s="163"/>
      <c r="H1396" s="163"/>
    </row>
    <row r="1397" spans="4:8" ht="11.25" customHeight="1">
      <c r="D1397" s="163"/>
      <c r="E1397" s="163"/>
      <c r="F1397" s="163"/>
      <c r="G1397" s="163"/>
      <c r="H1397" s="163"/>
    </row>
    <row r="1398" spans="4:8" ht="11.25" customHeight="1">
      <c r="D1398" s="163"/>
      <c r="E1398" s="163"/>
      <c r="F1398" s="163"/>
      <c r="G1398" s="163"/>
      <c r="H1398" s="163"/>
    </row>
    <row r="1399" spans="4:8" ht="11.25" customHeight="1">
      <c r="D1399" s="163"/>
      <c r="E1399" s="163"/>
      <c r="F1399" s="163"/>
      <c r="G1399" s="163"/>
      <c r="H1399" s="163"/>
    </row>
    <row r="1400" spans="4:8" ht="11.25" customHeight="1">
      <c r="D1400" s="163"/>
      <c r="E1400" s="163"/>
      <c r="F1400" s="163"/>
      <c r="G1400" s="163"/>
      <c r="H1400" s="163"/>
    </row>
    <row r="1401" spans="4:8" ht="11.25" customHeight="1">
      <c r="D1401" s="163"/>
      <c r="E1401" s="163"/>
      <c r="F1401" s="163"/>
      <c r="G1401" s="163"/>
      <c r="H1401" s="163"/>
    </row>
    <row r="1402" spans="4:8" ht="11.25" customHeight="1">
      <c r="D1402" s="163"/>
      <c r="E1402" s="163"/>
      <c r="F1402" s="163"/>
      <c r="G1402" s="163"/>
      <c r="H1402" s="163"/>
    </row>
    <row r="1403" spans="4:8" ht="11.25" customHeight="1">
      <c r="D1403" s="163"/>
      <c r="E1403" s="163"/>
      <c r="F1403" s="163"/>
      <c r="G1403" s="163"/>
      <c r="H1403" s="163"/>
    </row>
    <row r="1404" spans="4:8" ht="11.25" customHeight="1">
      <c r="D1404" s="163"/>
      <c r="E1404" s="163"/>
      <c r="F1404" s="163"/>
      <c r="G1404" s="163"/>
      <c r="H1404" s="163"/>
    </row>
    <row r="1405" spans="4:8" ht="11.25" customHeight="1">
      <c r="D1405" s="163"/>
      <c r="E1405" s="163"/>
      <c r="F1405" s="163"/>
      <c r="G1405" s="163"/>
      <c r="H1405" s="163"/>
    </row>
    <row r="1406" spans="4:8" ht="11.25" customHeight="1">
      <c r="D1406" s="163"/>
      <c r="E1406" s="163"/>
      <c r="F1406" s="163"/>
      <c r="G1406" s="163"/>
      <c r="H1406" s="163"/>
    </row>
    <row r="1407" spans="4:8" ht="11.25" customHeight="1">
      <c r="D1407" s="163"/>
      <c r="E1407" s="163"/>
      <c r="F1407" s="163"/>
      <c r="G1407" s="163"/>
      <c r="H1407" s="163"/>
    </row>
    <row r="1408" spans="4:8" ht="11.25" customHeight="1">
      <c r="D1408" s="163"/>
      <c r="E1408" s="163"/>
      <c r="F1408" s="163"/>
      <c r="G1408" s="163"/>
      <c r="H1408" s="163"/>
    </row>
    <row r="1409" spans="4:8" ht="11.25" customHeight="1">
      <c r="D1409" s="163"/>
      <c r="E1409" s="163"/>
      <c r="F1409" s="163"/>
      <c r="G1409" s="163"/>
      <c r="H1409" s="163"/>
    </row>
    <row r="1410" spans="4:8" ht="11.25" customHeight="1">
      <c r="D1410" s="163"/>
      <c r="E1410" s="163"/>
      <c r="F1410" s="163"/>
      <c r="G1410" s="163"/>
      <c r="H1410" s="163"/>
    </row>
    <row r="1411" spans="4:8" ht="11.25" customHeight="1">
      <c r="D1411" s="163"/>
      <c r="E1411" s="163"/>
      <c r="F1411" s="163"/>
      <c r="G1411" s="163"/>
      <c r="H1411" s="163"/>
    </row>
    <row r="1412" spans="4:8" ht="11.25" customHeight="1">
      <c r="D1412" s="163"/>
      <c r="E1412" s="163"/>
      <c r="F1412" s="163"/>
      <c r="G1412" s="163"/>
      <c r="H1412" s="163"/>
    </row>
    <row r="1413" spans="4:8" ht="11.25" customHeight="1">
      <c r="D1413" s="163"/>
      <c r="E1413" s="163"/>
      <c r="F1413" s="163"/>
      <c r="G1413" s="163"/>
      <c r="H1413" s="163"/>
    </row>
    <row r="1414" spans="4:8" ht="11.25" customHeight="1">
      <c r="D1414" s="163"/>
      <c r="E1414" s="163"/>
      <c r="F1414" s="163"/>
      <c r="G1414" s="163"/>
      <c r="H1414" s="163"/>
    </row>
    <row r="1415" spans="4:8" ht="11.25" customHeight="1">
      <c r="D1415" s="163"/>
      <c r="E1415" s="163"/>
      <c r="F1415" s="163"/>
      <c r="G1415" s="163"/>
      <c r="H1415" s="163"/>
    </row>
    <row r="1416" spans="4:8" ht="11.25" customHeight="1">
      <c r="D1416" s="163"/>
      <c r="E1416" s="163"/>
      <c r="F1416" s="163"/>
      <c r="G1416" s="163"/>
      <c r="H1416" s="163"/>
    </row>
    <row r="1417" spans="4:8" ht="11.25" customHeight="1">
      <c r="D1417" s="163"/>
      <c r="E1417" s="163"/>
      <c r="F1417" s="163"/>
      <c r="G1417" s="163"/>
      <c r="H1417" s="163"/>
    </row>
    <row r="1418" spans="4:8" ht="11.25" customHeight="1">
      <c r="D1418" s="163"/>
      <c r="E1418" s="163"/>
      <c r="F1418" s="163"/>
      <c r="G1418" s="163"/>
      <c r="H1418" s="163"/>
    </row>
    <row r="1419" spans="4:8" ht="11.25" customHeight="1">
      <c r="D1419" s="163"/>
      <c r="E1419" s="163"/>
      <c r="F1419" s="163"/>
      <c r="G1419" s="163"/>
      <c r="H1419" s="163"/>
    </row>
    <row r="1420" spans="4:8" ht="11.25" customHeight="1">
      <c r="D1420" s="163"/>
      <c r="E1420" s="163"/>
      <c r="F1420" s="163"/>
      <c r="G1420" s="163"/>
      <c r="H1420" s="163"/>
    </row>
    <row r="1421" spans="4:8" ht="11.25" customHeight="1">
      <c r="D1421" s="163"/>
      <c r="E1421" s="163"/>
      <c r="F1421" s="163"/>
      <c r="G1421" s="163"/>
      <c r="H1421" s="163"/>
    </row>
    <row r="1422" spans="4:8" ht="11.25" customHeight="1">
      <c r="D1422" s="163"/>
      <c r="E1422" s="163"/>
      <c r="F1422" s="163"/>
      <c r="G1422" s="163"/>
      <c r="H1422" s="163"/>
    </row>
    <row r="1423" spans="4:8" ht="11.25" customHeight="1">
      <c r="D1423" s="163"/>
      <c r="E1423" s="163"/>
      <c r="F1423" s="163"/>
      <c r="G1423" s="163"/>
      <c r="H1423" s="163"/>
    </row>
    <row r="1424" spans="4:8" ht="11.25" customHeight="1">
      <c r="D1424" s="163"/>
      <c r="E1424" s="163"/>
      <c r="F1424" s="163"/>
      <c r="G1424" s="163"/>
      <c r="H1424" s="163"/>
    </row>
    <row r="1425" spans="4:8" ht="11.25" customHeight="1">
      <c r="D1425" s="163"/>
      <c r="E1425" s="163"/>
      <c r="F1425" s="163"/>
      <c r="G1425" s="163"/>
      <c r="H1425" s="163"/>
    </row>
    <row r="1426" spans="4:8" ht="11.25" customHeight="1">
      <c r="D1426" s="163"/>
      <c r="E1426" s="163"/>
      <c r="F1426" s="163"/>
      <c r="G1426" s="163"/>
      <c r="H1426" s="163"/>
    </row>
    <row r="1427" spans="4:8" ht="11.25" customHeight="1">
      <c r="D1427" s="163"/>
      <c r="E1427" s="163"/>
      <c r="F1427" s="163"/>
      <c r="G1427" s="163"/>
      <c r="H1427" s="163"/>
    </row>
    <row r="1428" spans="4:8" ht="11.25" customHeight="1">
      <c r="D1428" s="163"/>
      <c r="E1428" s="163"/>
      <c r="F1428" s="163"/>
      <c r="G1428" s="163"/>
      <c r="H1428" s="163"/>
    </row>
    <row r="1429" spans="4:8" ht="11.25" customHeight="1">
      <c r="D1429" s="163"/>
      <c r="E1429" s="163"/>
      <c r="F1429" s="163"/>
      <c r="G1429" s="163"/>
      <c r="H1429" s="163"/>
    </row>
    <row r="1430" spans="4:8" ht="11.25" customHeight="1">
      <c r="D1430" s="163"/>
      <c r="E1430" s="163"/>
      <c r="F1430" s="163"/>
      <c r="G1430" s="163"/>
      <c r="H1430" s="163"/>
    </row>
    <row r="1431" spans="4:8" ht="11.25" customHeight="1">
      <c r="D1431" s="163"/>
      <c r="E1431" s="163"/>
      <c r="F1431" s="163"/>
      <c r="G1431" s="163"/>
      <c r="H1431" s="163"/>
    </row>
    <row r="1432" spans="4:8" ht="11.25" customHeight="1">
      <c r="D1432" s="163"/>
      <c r="E1432" s="163"/>
      <c r="F1432" s="163"/>
      <c r="G1432" s="163"/>
      <c r="H1432" s="163"/>
    </row>
    <row r="1433" spans="4:8" ht="11.25" customHeight="1">
      <c r="D1433" s="163"/>
      <c r="E1433" s="163"/>
      <c r="F1433" s="163"/>
      <c r="G1433" s="163"/>
      <c r="H1433" s="163"/>
    </row>
    <row r="1434" spans="4:8" ht="11.25" customHeight="1">
      <c r="D1434" s="163"/>
      <c r="E1434" s="163"/>
      <c r="F1434" s="163"/>
      <c r="G1434" s="163"/>
      <c r="H1434" s="163"/>
    </row>
    <row r="1435" spans="4:8" ht="11.25" customHeight="1">
      <c r="D1435" s="163"/>
      <c r="E1435" s="163"/>
      <c r="F1435" s="163"/>
      <c r="G1435" s="163"/>
      <c r="H1435" s="163"/>
    </row>
    <row r="1436" spans="4:8" ht="11.25" customHeight="1">
      <c r="D1436" s="163"/>
      <c r="E1436" s="163"/>
      <c r="F1436" s="163"/>
      <c r="G1436" s="163"/>
      <c r="H1436" s="163"/>
    </row>
    <row r="1437" spans="4:8" ht="11.25" customHeight="1">
      <c r="D1437" s="163"/>
      <c r="E1437" s="163"/>
      <c r="F1437" s="163"/>
      <c r="G1437" s="163"/>
      <c r="H1437" s="163"/>
    </row>
    <row r="1438" spans="4:8" ht="11.25" customHeight="1">
      <c r="D1438" s="163"/>
      <c r="E1438" s="163"/>
      <c r="F1438" s="163"/>
      <c r="G1438" s="163"/>
      <c r="H1438" s="163"/>
    </row>
    <row r="1439" spans="4:8" ht="11.25" customHeight="1">
      <c r="D1439" s="163"/>
      <c r="E1439" s="163"/>
      <c r="F1439" s="163"/>
      <c r="G1439" s="163"/>
      <c r="H1439" s="163"/>
    </row>
    <row r="1440" spans="4:8" ht="11.25" customHeight="1">
      <c r="D1440" s="163"/>
      <c r="E1440" s="163"/>
      <c r="F1440" s="163"/>
      <c r="G1440" s="163"/>
      <c r="H1440" s="163"/>
    </row>
    <row r="1441" spans="4:8" ht="11.25" customHeight="1">
      <c r="D1441" s="163"/>
      <c r="E1441" s="163"/>
      <c r="F1441" s="163"/>
      <c r="G1441" s="163"/>
      <c r="H1441" s="163"/>
    </row>
    <row r="1442" spans="4:8" ht="11.25" customHeight="1">
      <c r="D1442" s="163"/>
      <c r="E1442" s="163"/>
      <c r="F1442" s="163"/>
      <c r="G1442" s="163"/>
      <c r="H1442" s="163"/>
    </row>
    <row r="1443" spans="4:8" ht="11.25" customHeight="1">
      <c r="D1443" s="163"/>
      <c r="E1443" s="163"/>
      <c r="F1443" s="163"/>
      <c r="G1443" s="163"/>
      <c r="H1443" s="163"/>
    </row>
    <row r="1444" spans="4:8" ht="11.25" customHeight="1">
      <c r="D1444" s="163"/>
      <c r="E1444" s="163"/>
      <c r="F1444" s="163"/>
      <c r="G1444" s="163"/>
      <c r="H1444" s="163"/>
    </row>
    <row r="1445" spans="4:8" ht="11.25" customHeight="1">
      <c r="D1445" s="163"/>
      <c r="E1445" s="163"/>
      <c r="F1445" s="163"/>
      <c r="G1445" s="163"/>
      <c r="H1445" s="163"/>
    </row>
    <row r="1446" spans="4:8" ht="11.25" customHeight="1">
      <c r="D1446" s="163"/>
      <c r="E1446" s="163"/>
      <c r="F1446" s="163"/>
      <c r="G1446" s="163"/>
      <c r="H1446" s="163"/>
    </row>
    <row r="1447" spans="4:8" ht="11.25" customHeight="1">
      <c r="D1447" s="163"/>
      <c r="E1447" s="163"/>
      <c r="F1447" s="163"/>
      <c r="G1447" s="163"/>
      <c r="H1447" s="163"/>
    </row>
    <row r="1448" spans="4:8" ht="11.25" customHeight="1">
      <c r="D1448" s="163"/>
      <c r="E1448" s="163"/>
      <c r="F1448" s="163"/>
      <c r="G1448" s="163"/>
      <c r="H1448" s="163"/>
    </row>
    <row r="1449" spans="4:8" ht="11.25" customHeight="1">
      <c r="D1449" s="163"/>
      <c r="E1449" s="163"/>
      <c r="F1449" s="163"/>
      <c r="G1449" s="163"/>
      <c r="H1449" s="163"/>
    </row>
    <row r="1450" spans="4:8" ht="11.25" customHeight="1">
      <c r="D1450" s="163"/>
      <c r="E1450" s="163"/>
      <c r="F1450" s="163"/>
      <c r="G1450" s="163"/>
      <c r="H1450" s="163"/>
    </row>
    <row r="1451" spans="4:8" ht="11.25" customHeight="1">
      <c r="D1451" s="163"/>
      <c r="E1451" s="163"/>
      <c r="F1451" s="163"/>
      <c r="G1451" s="163"/>
      <c r="H1451" s="163"/>
    </row>
    <row r="1452" spans="4:8" ht="11.25" customHeight="1">
      <c r="D1452" s="163"/>
      <c r="E1452" s="163"/>
      <c r="F1452" s="163"/>
      <c r="G1452" s="163"/>
      <c r="H1452" s="163"/>
    </row>
    <row r="1453" spans="4:8" ht="11.25" customHeight="1">
      <c r="D1453" s="163"/>
      <c r="E1453" s="163"/>
      <c r="F1453" s="163"/>
      <c r="G1453" s="163"/>
      <c r="H1453" s="163"/>
    </row>
    <row r="1454" spans="4:8" ht="11.25" customHeight="1">
      <c r="D1454" s="163"/>
      <c r="E1454" s="163"/>
      <c r="F1454" s="163"/>
      <c r="G1454" s="163"/>
      <c r="H1454" s="163"/>
    </row>
    <row r="1455" spans="4:8" ht="11.25" customHeight="1">
      <c r="D1455" s="163"/>
      <c r="E1455" s="163"/>
      <c r="F1455" s="163"/>
      <c r="G1455" s="163"/>
      <c r="H1455" s="163"/>
    </row>
    <row r="1456" spans="4:8" ht="11.25" customHeight="1">
      <c r="D1456" s="163"/>
      <c r="E1456" s="163"/>
      <c r="F1456" s="163"/>
      <c r="G1456" s="163"/>
      <c r="H1456" s="163"/>
    </row>
    <row r="1457" spans="4:8" ht="11.25" customHeight="1">
      <c r="D1457" s="163"/>
      <c r="E1457" s="163"/>
      <c r="F1457" s="163"/>
      <c r="G1457" s="163"/>
      <c r="H1457" s="163"/>
    </row>
    <row r="1458" spans="4:8" ht="11.25" customHeight="1">
      <c r="D1458" s="163"/>
      <c r="E1458" s="163"/>
      <c r="F1458" s="163"/>
      <c r="G1458" s="163"/>
      <c r="H1458" s="163"/>
    </row>
    <row r="1459" spans="4:8" ht="11.25" customHeight="1">
      <c r="D1459" s="163"/>
      <c r="E1459" s="163"/>
      <c r="F1459" s="163"/>
      <c r="G1459" s="163"/>
      <c r="H1459" s="163"/>
    </row>
    <row r="1460" spans="4:8" ht="11.25" customHeight="1">
      <c r="D1460" s="163"/>
      <c r="E1460" s="163"/>
      <c r="F1460" s="163"/>
      <c r="G1460" s="163"/>
      <c r="H1460" s="163"/>
    </row>
    <row r="1461" spans="4:8" ht="11.25" customHeight="1">
      <c r="D1461" s="163"/>
      <c r="E1461" s="163"/>
      <c r="F1461" s="163"/>
      <c r="G1461" s="163"/>
      <c r="H1461" s="163"/>
    </row>
    <row r="1462" spans="4:8" ht="11.25" customHeight="1">
      <c r="D1462" s="163"/>
      <c r="E1462" s="163"/>
      <c r="F1462" s="163"/>
      <c r="G1462" s="163"/>
      <c r="H1462" s="163"/>
    </row>
    <row r="1463" spans="4:8" ht="11.25" customHeight="1">
      <c r="D1463" s="163"/>
      <c r="E1463" s="163"/>
      <c r="F1463" s="163"/>
      <c r="G1463" s="163"/>
      <c r="H1463" s="163"/>
    </row>
    <row r="1464" spans="4:8" ht="11.25" customHeight="1">
      <c r="D1464" s="163"/>
      <c r="E1464" s="163"/>
      <c r="F1464" s="163"/>
      <c r="G1464" s="163"/>
      <c r="H1464" s="163"/>
    </row>
    <row r="1465" spans="4:8" ht="11.25" customHeight="1">
      <c r="D1465" s="163"/>
      <c r="E1465" s="163"/>
      <c r="F1465" s="163"/>
      <c r="G1465" s="163"/>
      <c r="H1465" s="163"/>
    </row>
    <row r="1466" spans="4:8" ht="11.25" customHeight="1">
      <c r="D1466" s="163"/>
      <c r="E1466" s="163"/>
      <c r="F1466" s="163"/>
      <c r="G1466" s="163"/>
      <c r="H1466" s="163"/>
    </row>
    <row r="1467" spans="4:8" ht="11.25" customHeight="1">
      <c r="D1467" s="163"/>
      <c r="E1467" s="163"/>
      <c r="F1467" s="163"/>
      <c r="G1467" s="163"/>
      <c r="H1467" s="163"/>
    </row>
    <row r="1468" spans="4:8" ht="11.25" customHeight="1">
      <c r="D1468" s="163"/>
      <c r="E1468" s="163"/>
      <c r="F1468" s="163"/>
      <c r="G1468" s="163"/>
      <c r="H1468" s="163"/>
    </row>
    <row r="1469" spans="4:8" ht="11.25" customHeight="1">
      <c r="D1469" s="163"/>
      <c r="E1469" s="163"/>
      <c r="F1469" s="163"/>
      <c r="G1469" s="163"/>
      <c r="H1469" s="163"/>
    </row>
    <row r="1470" spans="4:8" ht="11.25" customHeight="1">
      <c r="D1470" s="163"/>
      <c r="E1470" s="163"/>
      <c r="F1470" s="163"/>
      <c r="G1470" s="163"/>
      <c r="H1470" s="163"/>
    </row>
    <row r="1471" spans="4:8" ht="11.25" customHeight="1">
      <c r="D1471" s="163"/>
      <c r="E1471" s="163"/>
      <c r="F1471" s="163"/>
      <c r="G1471" s="163"/>
      <c r="H1471" s="163"/>
    </row>
    <row r="1472" spans="4:8" ht="11.25" customHeight="1">
      <c r="D1472" s="163"/>
      <c r="E1472" s="163"/>
      <c r="F1472" s="163"/>
      <c r="G1472" s="163"/>
      <c r="H1472" s="163"/>
    </row>
    <row r="1473" spans="4:8" ht="11.25" customHeight="1">
      <c r="D1473" s="163"/>
      <c r="E1473" s="163"/>
      <c r="F1473" s="163"/>
      <c r="G1473" s="163"/>
      <c r="H1473" s="163"/>
    </row>
    <row r="1474" spans="4:8" ht="11.25" customHeight="1">
      <c r="D1474" s="163"/>
      <c r="E1474" s="163"/>
      <c r="F1474" s="163"/>
      <c r="G1474" s="163"/>
      <c r="H1474" s="163"/>
    </row>
    <row r="1475" spans="4:8" ht="11.25" customHeight="1">
      <c r="D1475" s="163"/>
      <c r="E1475" s="163"/>
      <c r="F1475" s="163"/>
      <c r="G1475" s="163"/>
      <c r="H1475" s="163"/>
    </row>
    <row r="1476" spans="4:8" ht="11.25" customHeight="1">
      <c r="D1476" s="163"/>
      <c r="E1476" s="163"/>
      <c r="F1476" s="163"/>
      <c r="G1476" s="163"/>
      <c r="H1476" s="163"/>
    </row>
    <row r="1477" spans="4:8" ht="11.25" customHeight="1">
      <c r="D1477" s="163"/>
      <c r="E1477" s="163"/>
      <c r="F1477" s="163"/>
      <c r="G1477" s="163"/>
      <c r="H1477" s="163"/>
    </row>
    <row r="1478" spans="4:8" ht="11.25" customHeight="1">
      <c r="D1478" s="163"/>
      <c r="E1478" s="163"/>
      <c r="F1478" s="163"/>
      <c r="G1478" s="163"/>
      <c r="H1478" s="163"/>
    </row>
    <row r="1479" spans="4:8" ht="11.25" customHeight="1">
      <c r="D1479" s="163"/>
      <c r="E1479" s="163"/>
      <c r="F1479" s="163"/>
      <c r="G1479" s="163"/>
      <c r="H1479" s="163"/>
    </row>
    <row r="1480" spans="4:8" ht="11.25" customHeight="1">
      <c r="D1480" s="163"/>
      <c r="E1480" s="163"/>
      <c r="F1480" s="163"/>
      <c r="G1480" s="163"/>
      <c r="H1480" s="163"/>
    </row>
    <row r="1481" spans="4:8" ht="11.25" customHeight="1">
      <c r="D1481" s="163"/>
      <c r="E1481" s="163"/>
      <c r="F1481" s="163"/>
      <c r="G1481" s="163"/>
      <c r="H1481" s="163"/>
    </row>
    <row r="1482" spans="4:8" ht="11.25" customHeight="1">
      <c r="D1482" s="163"/>
      <c r="E1482" s="163"/>
      <c r="F1482" s="163"/>
      <c r="G1482" s="163"/>
      <c r="H1482" s="163"/>
    </row>
    <row r="1483" spans="4:8" ht="11.25" customHeight="1">
      <c r="D1483" s="163"/>
      <c r="E1483" s="163"/>
      <c r="F1483" s="163"/>
      <c r="G1483" s="163"/>
      <c r="H1483" s="163"/>
    </row>
    <row r="1484" spans="4:8" ht="11.25" customHeight="1">
      <c r="D1484" s="163"/>
      <c r="E1484" s="163"/>
      <c r="F1484" s="163"/>
      <c r="G1484" s="163"/>
      <c r="H1484" s="163"/>
    </row>
    <row r="1485" spans="4:8" ht="11.25" customHeight="1">
      <c r="D1485" s="163"/>
      <c r="E1485" s="163"/>
      <c r="F1485" s="163"/>
      <c r="G1485" s="163"/>
      <c r="H1485" s="163"/>
    </row>
    <row r="1486" spans="4:8" ht="11.25" customHeight="1">
      <c r="D1486" s="163"/>
      <c r="E1486" s="163"/>
      <c r="F1486" s="163"/>
      <c r="G1486" s="163"/>
      <c r="H1486" s="163"/>
    </row>
    <row r="1487" spans="4:8" ht="11.25" customHeight="1">
      <c r="D1487" s="163"/>
      <c r="E1487" s="163"/>
      <c r="F1487" s="163"/>
      <c r="G1487" s="163"/>
      <c r="H1487" s="163"/>
    </row>
    <row r="1488" spans="4:8" ht="11.25" customHeight="1">
      <c r="D1488" s="163"/>
      <c r="E1488" s="163"/>
      <c r="F1488" s="163"/>
      <c r="G1488" s="163"/>
      <c r="H1488" s="163"/>
    </row>
    <row r="1489" spans="4:8" ht="11.25" customHeight="1">
      <c r="D1489" s="163"/>
      <c r="E1489" s="163"/>
      <c r="F1489" s="163"/>
      <c r="G1489" s="163"/>
      <c r="H1489" s="163"/>
    </row>
    <row r="1490" spans="4:8" ht="11.25" customHeight="1">
      <c r="D1490" s="163"/>
      <c r="E1490" s="163"/>
      <c r="F1490" s="163"/>
      <c r="G1490" s="163"/>
      <c r="H1490" s="163"/>
    </row>
    <row r="1491" spans="4:8" ht="11.25" customHeight="1">
      <c r="D1491" s="163"/>
      <c r="E1491" s="163"/>
      <c r="F1491" s="163"/>
      <c r="G1491" s="163"/>
      <c r="H1491" s="163"/>
    </row>
    <row r="1492" spans="4:8" ht="11.25" customHeight="1">
      <c r="D1492" s="163"/>
      <c r="E1492" s="163"/>
      <c r="F1492" s="163"/>
      <c r="G1492" s="163"/>
      <c r="H1492" s="163"/>
    </row>
    <row r="1493" spans="4:8" ht="11.25" customHeight="1">
      <c r="D1493" s="163"/>
      <c r="E1493" s="163"/>
      <c r="F1493" s="163"/>
      <c r="G1493" s="163"/>
      <c r="H1493" s="163"/>
    </row>
    <row r="1494" spans="4:8" ht="11.25" customHeight="1">
      <c r="D1494" s="163"/>
      <c r="E1494" s="163"/>
      <c r="F1494" s="163"/>
      <c r="G1494" s="163"/>
      <c r="H1494" s="163"/>
    </row>
    <row r="1495" spans="4:8" ht="11.25" customHeight="1">
      <c r="D1495" s="163"/>
      <c r="E1495" s="163"/>
      <c r="F1495" s="163"/>
      <c r="G1495" s="163"/>
      <c r="H1495" s="163"/>
    </row>
    <row r="1496" spans="4:8" ht="11.25" customHeight="1">
      <c r="D1496" s="163"/>
      <c r="E1496" s="163"/>
      <c r="F1496" s="163"/>
      <c r="G1496" s="163"/>
      <c r="H1496" s="163"/>
    </row>
    <row r="1497" spans="4:8" ht="11.25" customHeight="1">
      <c r="D1497" s="163"/>
      <c r="E1497" s="163"/>
      <c r="F1497" s="163"/>
      <c r="G1497" s="163"/>
      <c r="H1497" s="163"/>
    </row>
    <row r="1498" spans="4:8" ht="11.25" customHeight="1">
      <c r="D1498" s="163"/>
      <c r="E1498" s="163"/>
      <c r="F1498" s="163"/>
      <c r="G1498" s="163"/>
      <c r="H1498" s="163"/>
    </row>
    <row r="1499" spans="4:8" ht="11.25" customHeight="1">
      <c r="D1499" s="163"/>
      <c r="E1499" s="163"/>
      <c r="F1499" s="163"/>
      <c r="G1499" s="163"/>
      <c r="H1499" s="163"/>
    </row>
    <row r="1500" spans="4:8" ht="11.25" customHeight="1">
      <c r="D1500" s="163"/>
      <c r="E1500" s="163"/>
      <c r="F1500" s="163"/>
      <c r="G1500" s="163"/>
      <c r="H1500" s="163"/>
    </row>
    <row r="1501" spans="4:8" ht="11.25" customHeight="1">
      <c r="D1501" s="163"/>
      <c r="E1501" s="163"/>
      <c r="F1501" s="163"/>
      <c r="G1501" s="163"/>
      <c r="H1501" s="163"/>
    </row>
    <row r="1502" spans="4:8" ht="11.25" customHeight="1">
      <c r="D1502" s="163"/>
      <c r="E1502" s="163"/>
      <c r="F1502" s="163"/>
      <c r="G1502" s="163"/>
      <c r="H1502" s="163"/>
    </row>
    <row r="1503" spans="4:8" ht="11.25" customHeight="1">
      <c r="D1503" s="163"/>
      <c r="E1503" s="163"/>
      <c r="F1503" s="163"/>
      <c r="G1503" s="163"/>
      <c r="H1503" s="163"/>
    </row>
    <row r="1504" spans="4:8" ht="11.25" customHeight="1">
      <c r="D1504" s="163"/>
      <c r="E1504" s="163"/>
      <c r="F1504" s="163"/>
      <c r="G1504" s="163"/>
      <c r="H1504" s="163"/>
    </row>
    <row r="1505" spans="4:8" ht="11.25" customHeight="1">
      <c r="D1505" s="163"/>
      <c r="E1505" s="163"/>
      <c r="F1505" s="163"/>
      <c r="G1505" s="163"/>
      <c r="H1505" s="163"/>
    </row>
    <row r="1506" spans="4:8" ht="11.25" customHeight="1">
      <c r="D1506" s="163"/>
      <c r="E1506" s="163"/>
      <c r="F1506" s="163"/>
      <c r="G1506" s="163"/>
      <c r="H1506" s="163"/>
    </row>
    <row r="1507" spans="4:8" ht="11.25" customHeight="1">
      <c r="D1507" s="163"/>
      <c r="E1507" s="163"/>
      <c r="F1507" s="163"/>
      <c r="G1507" s="163"/>
      <c r="H1507" s="163"/>
    </row>
    <row r="1508" spans="4:8" ht="11.25" customHeight="1">
      <c r="D1508" s="163"/>
      <c r="E1508" s="163"/>
      <c r="F1508" s="163"/>
      <c r="G1508" s="163"/>
      <c r="H1508" s="163"/>
    </row>
    <row r="1509" spans="4:8" ht="11.25" customHeight="1">
      <c r="D1509" s="163"/>
      <c r="E1509" s="163"/>
      <c r="F1509" s="163"/>
      <c r="G1509" s="163"/>
      <c r="H1509" s="163"/>
    </row>
    <row r="1510" spans="4:8" ht="11.25" customHeight="1">
      <c r="D1510" s="163"/>
      <c r="E1510" s="163"/>
      <c r="F1510" s="163"/>
      <c r="G1510" s="163"/>
      <c r="H1510" s="163"/>
    </row>
    <row r="1511" spans="4:8" ht="11.25" customHeight="1">
      <c r="D1511" s="163"/>
      <c r="E1511" s="163"/>
      <c r="F1511" s="163"/>
      <c r="G1511" s="163"/>
      <c r="H1511" s="163"/>
    </row>
    <row r="1512" spans="4:8" ht="11.25" customHeight="1">
      <c r="D1512" s="163"/>
      <c r="E1512" s="163"/>
      <c r="F1512" s="163"/>
      <c r="G1512" s="163"/>
      <c r="H1512" s="163"/>
    </row>
    <row r="1513" spans="4:8" ht="11.25" customHeight="1">
      <c r="D1513" s="163"/>
      <c r="E1513" s="163"/>
      <c r="F1513" s="163"/>
      <c r="G1513" s="163"/>
      <c r="H1513" s="163"/>
    </row>
    <row r="1514" spans="4:8" ht="11.25" customHeight="1">
      <c r="D1514" s="163"/>
      <c r="E1514" s="163"/>
      <c r="F1514" s="163"/>
      <c r="G1514" s="163"/>
      <c r="H1514" s="163"/>
    </row>
    <row r="1515" spans="4:8" ht="11.25" customHeight="1">
      <c r="D1515" s="163"/>
      <c r="E1515" s="163"/>
      <c r="F1515" s="163"/>
      <c r="G1515" s="163"/>
      <c r="H1515" s="163"/>
    </row>
    <row r="1516" spans="4:8" ht="11.25" customHeight="1">
      <c r="D1516" s="163"/>
      <c r="E1516" s="163"/>
      <c r="F1516" s="163"/>
      <c r="G1516" s="163"/>
      <c r="H1516" s="163"/>
    </row>
    <row r="1517" spans="4:8" ht="11.25" customHeight="1">
      <c r="D1517" s="163"/>
      <c r="E1517" s="163"/>
      <c r="F1517" s="163"/>
      <c r="G1517" s="163"/>
      <c r="H1517" s="163"/>
    </row>
    <row r="1518" spans="4:8" ht="11.25" customHeight="1">
      <c r="D1518" s="163"/>
      <c r="E1518" s="163"/>
      <c r="F1518" s="163"/>
      <c r="G1518" s="163"/>
      <c r="H1518" s="163"/>
    </row>
    <row r="1519" spans="4:8" ht="11.25" customHeight="1">
      <c r="D1519" s="163"/>
      <c r="E1519" s="163"/>
      <c r="F1519" s="163"/>
      <c r="G1519" s="163"/>
      <c r="H1519" s="163"/>
    </row>
    <row r="1520" spans="4:8" ht="11.25" customHeight="1">
      <c r="D1520" s="163"/>
      <c r="E1520" s="163"/>
      <c r="F1520" s="163"/>
      <c r="G1520" s="163"/>
      <c r="H1520" s="163"/>
    </row>
    <row r="1521" spans="4:8" ht="11.25" customHeight="1">
      <c r="D1521" s="163"/>
      <c r="E1521" s="163"/>
      <c r="F1521" s="163"/>
      <c r="G1521" s="163"/>
      <c r="H1521" s="163"/>
    </row>
    <row r="1522" spans="4:8" ht="11.25" customHeight="1">
      <c r="D1522" s="163"/>
      <c r="E1522" s="163"/>
      <c r="F1522" s="163"/>
      <c r="G1522" s="163"/>
      <c r="H1522" s="163"/>
    </row>
    <row r="1523" spans="4:8" ht="11.25" customHeight="1">
      <c r="D1523" s="163"/>
      <c r="E1523" s="163"/>
      <c r="F1523" s="163"/>
      <c r="G1523" s="163"/>
      <c r="H1523" s="163"/>
    </row>
    <row r="1524" spans="4:8" ht="11.25" customHeight="1">
      <c r="D1524" s="163"/>
      <c r="E1524" s="163"/>
      <c r="F1524" s="163"/>
      <c r="G1524" s="163"/>
      <c r="H1524" s="163"/>
    </row>
    <row r="1525" spans="4:8" ht="11.25" customHeight="1">
      <c r="D1525" s="163"/>
      <c r="E1525" s="163"/>
      <c r="F1525" s="163"/>
      <c r="G1525" s="163"/>
      <c r="H1525" s="163"/>
    </row>
    <row r="1526" spans="4:8" ht="11.25" customHeight="1">
      <c r="D1526" s="163"/>
      <c r="E1526" s="163"/>
      <c r="F1526" s="163"/>
      <c r="G1526" s="163"/>
      <c r="H1526" s="163"/>
    </row>
    <row r="1527" spans="4:8" ht="11.25" customHeight="1">
      <c r="D1527" s="163"/>
      <c r="E1527" s="163"/>
      <c r="F1527" s="163"/>
      <c r="G1527" s="163"/>
      <c r="H1527" s="163"/>
    </row>
    <row r="1528" spans="4:8" ht="11.25" customHeight="1">
      <c r="D1528" s="163"/>
      <c r="E1528" s="163"/>
      <c r="F1528" s="163"/>
      <c r="G1528" s="163"/>
      <c r="H1528" s="163"/>
    </row>
    <row r="1529" spans="4:8" ht="11.25" customHeight="1">
      <c r="D1529" s="163"/>
      <c r="E1529" s="163"/>
      <c r="F1529" s="163"/>
      <c r="G1529" s="163"/>
      <c r="H1529" s="163"/>
    </row>
    <row r="1530" spans="4:8" ht="11.25" customHeight="1">
      <c r="D1530" s="163"/>
      <c r="E1530" s="163"/>
      <c r="F1530" s="163"/>
      <c r="G1530" s="163"/>
      <c r="H1530" s="163"/>
    </row>
    <row r="1531" spans="4:8" ht="11.25" customHeight="1">
      <c r="D1531" s="163"/>
      <c r="E1531" s="163"/>
      <c r="F1531" s="163"/>
      <c r="G1531" s="163"/>
      <c r="H1531" s="163"/>
    </row>
    <row r="1532" spans="4:8" ht="11.25" customHeight="1">
      <c r="D1532" s="163"/>
      <c r="E1532" s="163"/>
      <c r="F1532" s="163"/>
      <c r="G1532" s="163"/>
      <c r="H1532" s="163"/>
    </row>
    <row r="1533" spans="4:8" ht="11.25" customHeight="1">
      <c r="D1533" s="163"/>
      <c r="E1533" s="163"/>
      <c r="F1533" s="163"/>
      <c r="G1533" s="163"/>
      <c r="H1533" s="163"/>
    </row>
    <row r="1534" spans="4:8" ht="11.25" customHeight="1">
      <c r="D1534" s="163"/>
      <c r="E1534" s="163"/>
      <c r="F1534" s="163"/>
      <c r="G1534" s="163"/>
      <c r="H1534" s="163"/>
    </row>
    <row r="1535" spans="4:8" ht="11.25" customHeight="1">
      <c r="D1535" s="163"/>
      <c r="E1535" s="163"/>
      <c r="F1535" s="163"/>
      <c r="G1535" s="163"/>
      <c r="H1535" s="163"/>
    </row>
    <row r="1536" spans="4:8" ht="11.25" customHeight="1">
      <c r="D1536" s="163"/>
      <c r="E1536" s="163"/>
      <c r="F1536" s="163"/>
      <c r="G1536" s="163"/>
      <c r="H1536" s="163"/>
    </row>
    <row r="1537" spans="4:8" ht="11.25" customHeight="1">
      <c r="D1537" s="163"/>
      <c r="E1537" s="163"/>
      <c r="F1537" s="163"/>
      <c r="G1537" s="163"/>
      <c r="H1537" s="163"/>
    </row>
    <row r="1538" spans="4:8" ht="11.25" customHeight="1">
      <c r="D1538" s="163"/>
      <c r="E1538" s="163"/>
      <c r="F1538" s="163"/>
      <c r="G1538" s="163"/>
      <c r="H1538" s="163"/>
    </row>
    <row r="1539" spans="4:8" ht="11.25" customHeight="1">
      <c r="D1539" s="163"/>
      <c r="E1539" s="163"/>
      <c r="F1539" s="163"/>
      <c r="G1539" s="163"/>
      <c r="H1539" s="163"/>
    </row>
    <row r="1540" spans="4:8" ht="11.25" customHeight="1">
      <c r="D1540" s="163"/>
      <c r="E1540" s="163"/>
      <c r="F1540" s="163"/>
      <c r="G1540" s="163"/>
      <c r="H1540" s="163"/>
    </row>
    <row r="1541" spans="4:8" ht="11.25" customHeight="1">
      <c r="D1541" s="163"/>
      <c r="E1541" s="163"/>
      <c r="F1541" s="163"/>
      <c r="G1541" s="163"/>
      <c r="H1541" s="163"/>
    </row>
    <row r="1542" spans="4:8" ht="11.25" customHeight="1">
      <c r="D1542" s="163"/>
      <c r="E1542" s="163"/>
      <c r="F1542" s="163"/>
      <c r="G1542" s="163"/>
      <c r="H1542" s="163"/>
    </row>
    <row r="1543" spans="4:8" ht="11.25" customHeight="1">
      <c r="D1543" s="163"/>
      <c r="E1543" s="163"/>
      <c r="F1543" s="163"/>
      <c r="G1543" s="163"/>
      <c r="H1543" s="163"/>
    </row>
    <row r="1544" spans="4:8" ht="11.25" customHeight="1">
      <c r="D1544" s="163"/>
      <c r="E1544" s="163"/>
      <c r="F1544" s="163"/>
      <c r="G1544" s="163"/>
      <c r="H1544" s="163"/>
    </row>
    <row r="1545" spans="4:8" ht="11.25" customHeight="1">
      <c r="D1545" s="163"/>
      <c r="E1545" s="163"/>
      <c r="F1545" s="163"/>
      <c r="G1545" s="163"/>
      <c r="H1545" s="163"/>
    </row>
    <row r="1546" spans="4:8" ht="11.25" customHeight="1">
      <c r="D1546" s="163"/>
      <c r="E1546" s="163"/>
      <c r="F1546" s="163"/>
      <c r="G1546" s="163"/>
      <c r="H1546" s="163"/>
    </row>
    <row r="1547" spans="4:8" ht="11.25" customHeight="1">
      <c r="D1547" s="163"/>
      <c r="E1547" s="163"/>
      <c r="F1547" s="163"/>
      <c r="G1547" s="163"/>
      <c r="H1547" s="163"/>
    </row>
    <row r="1548" spans="4:8" ht="11.25" customHeight="1">
      <c r="D1548" s="163"/>
      <c r="E1548" s="163"/>
      <c r="F1548" s="163"/>
      <c r="G1548" s="163"/>
      <c r="H1548" s="163"/>
    </row>
    <row r="1549" spans="4:8" ht="11.25" customHeight="1">
      <c r="D1549" s="163"/>
      <c r="E1549" s="163"/>
      <c r="F1549" s="163"/>
      <c r="G1549" s="163"/>
      <c r="H1549" s="163"/>
    </row>
    <row r="1550" spans="4:8" ht="11.25" customHeight="1">
      <c r="D1550" s="163"/>
      <c r="E1550" s="163"/>
      <c r="F1550" s="163"/>
      <c r="G1550" s="163"/>
      <c r="H1550" s="163"/>
    </row>
    <row r="1551" spans="4:8" ht="11.25" customHeight="1">
      <c r="D1551" s="163"/>
      <c r="E1551" s="163"/>
      <c r="F1551" s="163"/>
      <c r="G1551" s="163"/>
      <c r="H1551" s="163"/>
    </row>
    <row r="1552" spans="4:8" ht="11.25" customHeight="1">
      <c r="D1552" s="163"/>
      <c r="E1552" s="163"/>
      <c r="F1552" s="163"/>
      <c r="G1552" s="163"/>
      <c r="H1552" s="163"/>
    </row>
    <row r="1553" spans="4:8" ht="11.25" customHeight="1">
      <c r="D1553" s="163"/>
      <c r="E1553" s="163"/>
      <c r="F1553" s="163"/>
      <c r="G1553" s="163"/>
      <c r="H1553" s="163"/>
    </row>
    <row r="1554" spans="4:8" ht="11.25" customHeight="1">
      <c r="D1554" s="163"/>
      <c r="E1554" s="163"/>
      <c r="F1554" s="163"/>
      <c r="G1554" s="163"/>
      <c r="H1554" s="163"/>
    </row>
    <row r="1555" spans="4:8" ht="11.25" customHeight="1">
      <c r="D1555" s="163"/>
      <c r="E1555" s="163"/>
      <c r="F1555" s="163"/>
      <c r="G1555" s="163"/>
      <c r="H1555" s="163"/>
    </row>
    <row r="1556" spans="4:8" ht="11.25" customHeight="1">
      <c r="D1556" s="163"/>
      <c r="E1556" s="163"/>
      <c r="F1556" s="163"/>
      <c r="G1556" s="163"/>
      <c r="H1556" s="163"/>
    </row>
    <row r="1557" spans="4:8" ht="11.25" customHeight="1">
      <c r="D1557" s="163"/>
      <c r="E1557" s="163"/>
      <c r="F1557" s="163"/>
      <c r="G1557" s="163"/>
      <c r="H1557" s="163"/>
    </row>
    <row r="1558" spans="4:8" ht="11.25" customHeight="1">
      <c r="D1558" s="163"/>
      <c r="E1558" s="163"/>
      <c r="F1558" s="163"/>
      <c r="G1558" s="163"/>
      <c r="H1558" s="163"/>
    </row>
    <row r="1559" spans="4:8" ht="11.25" customHeight="1">
      <c r="D1559" s="163"/>
      <c r="E1559" s="163"/>
      <c r="F1559" s="163"/>
      <c r="G1559" s="163"/>
      <c r="H1559" s="163"/>
    </row>
    <row r="1560" spans="4:8" ht="11.25" customHeight="1">
      <c r="D1560" s="163"/>
      <c r="E1560" s="163"/>
      <c r="F1560" s="163"/>
      <c r="G1560" s="163"/>
      <c r="H1560" s="163"/>
    </row>
    <row r="1561" spans="4:8" ht="11.25" customHeight="1">
      <c r="D1561" s="163"/>
      <c r="E1561" s="163"/>
      <c r="F1561" s="163"/>
      <c r="G1561" s="163"/>
      <c r="H1561" s="163"/>
    </row>
    <row r="1562" spans="4:8" ht="11.25" customHeight="1">
      <c r="D1562" s="163"/>
      <c r="E1562" s="163"/>
      <c r="F1562" s="163"/>
      <c r="G1562" s="163"/>
      <c r="H1562" s="163"/>
    </row>
    <row r="1563" spans="4:8" ht="11.25" customHeight="1">
      <c r="D1563" s="163"/>
      <c r="E1563" s="163"/>
      <c r="F1563" s="163"/>
      <c r="G1563" s="163"/>
      <c r="H1563" s="163"/>
    </row>
    <row r="1564" spans="4:8" ht="11.25" customHeight="1">
      <c r="D1564" s="163"/>
      <c r="E1564" s="163"/>
      <c r="F1564" s="163"/>
      <c r="G1564" s="163"/>
      <c r="H1564" s="163"/>
    </row>
    <row r="1565" spans="4:8" ht="11.25" customHeight="1">
      <c r="D1565" s="163"/>
      <c r="E1565" s="163"/>
      <c r="F1565" s="163"/>
      <c r="G1565" s="163"/>
      <c r="H1565" s="163"/>
    </row>
    <row r="1566" spans="4:8" ht="11.25" customHeight="1">
      <c r="D1566" s="163"/>
      <c r="E1566" s="163"/>
      <c r="F1566" s="163"/>
      <c r="G1566" s="163"/>
      <c r="H1566" s="163"/>
    </row>
    <row r="1567" spans="4:8" ht="11.25" customHeight="1">
      <c r="D1567" s="163"/>
      <c r="E1567" s="163"/>
      <c r="F1567" s="163"/>
      <c r="G1567" s="163"/>
      <c r="H1567" s="163"/>
    </row>
    <row r="1568" spans="4:8" ht="11.25" customHeight="1">
      <c r="D1568" s="163"/>
      <c r="E1568" s="163"/>
      <c r="F1568" s="163"/>
      <c r="G1568" s="163"/>
      <c r="H1568" s="163"/>
    </row>
    <row r="1569" spans="4:8" ht="11.25" customHeight="1">
      <c r="D1569" s="163"/>
      <c r="E1569" s="163"/>
      <c r="F1569" s="163"/>
      <c r="G1569" s="163"/>
      <c r="H1569" s="163"/>
    </row>
    <row r="1570" spans="4:8" ht="11.25" customHeight="1">
      <c r="D1570" s="163"/>
      <c r="E1570" s="163"/>
      <c r="F1570" s="163"/>
      <c r="G1570" s="163"/>
      <c r="H1570" s="163"/>
    </row>
    <row r="1571" spans="4:8" ht="11.25" customHeight="1">
      <c r="D1571" s="163"/>
      <c r="E1571" s="163"/>
      <c r="F1571" s="163"/>
      <c r="G1571" s="163"/>
      <c r="H1571" s="163"/>
    </row>
    <row r="1572" spans="4:8" ht="11.25" customHeight="1">
      <c r="D1572" s="163"/>
      <c r="E1572" s="163"/>
      <c r="F1572" s="163"/>
      <c r="G1572" s="163"/>
      <c r="H1572" s="163"/>
    </row>
    <row r="1573" spans="4:8" ht="11.25" customHeight="1">
      <c r="D1573" s="163"/>
      <c r="E1573" s="163"/>
      <c r="F1573" s="163"/>
      <c r="G1573" s="163"/>
      <c r="H1573" s="163"/>
    </row>
    <row r="1574" spans="4:8" ht="11.25" customHeight="1">
      <c r="D1574" s="163"/>
      <c r="E1574" s="163"/>
      <c r="F1574" s="163"/>
      <c r="G1574" s="163"/>
      <c r="H1574" s="163"/>
    </row>
    <row r="1575" spans="4:8" ht="11.25" customHeight="1">
      <c r="D1575" s="163"/>
      <c r="E1575" s="163"/>
      <c r="F1575" s="163"/>
      <c r="G1575" s="163"/>
      <c r="H1575" s="163"/>
    </row>
    <row r="1576" spans="4:8" ht="11.25" customHeight="1">
      <c r="D1576" s="163"/>
      <c r="E1576" s="163"/>
      <c r="F1576" s="163"/>
      <c r="G1576" s="163"/>
      <c r="H1576" s="163"/>
    </row>
    <row r="1577" spans="4:8" ht="11.25" customHeight="1">
      <c r="D1577" s="163"/>
      <c r="E1577" s="163"/>
      <c r="F1577" s="163"/>
      <c r="G1577" s="163"/>
      <c r="H1577" s="163"/>
    </row>
    <row r="1578" spans="4:8" ht="11.25" customHeight="1">
      <c r="D1578" s="163"/>
      <c r="E1578" s="163"/>
      <c r="F1578" s="163"/>
      <c r="G1578" s="163"/>
      <c r="H1578" s="163"/>
    </row>
    <row r="1579" spans="4:8" ht="11.25" customHeight="1">
      <c r="D1579" s="163"/>
      <c r="E1579" s="163"/>
      <c r="F1579" s="163"/>
      <c r="G1579" s="163"/>
      <c r="H1579" s="163"/>
    </row>
    <row r="1580" spans="4:8" ht="11.25" customHeight="1">
      <c r="D1580" s="163"/>
      <c r="E1580" s="163"/>
      <c r="F1580" s="163"/>
      <c r="G1580" s="163"/>
      <c r="H1580" s="163"/>
    </row>
    <row r="1581" spans="4:8" ht="11.25" customHeight="1">
      <c r="D1581" s="163"/>
      <c r="E1581" s="163"/>
      <c r="F1581" s="163"/>
      <c r="G1581" s="163"/>
      <c r="H1581" s="163"/>
    </row>
    <row r="1582" spans="4:8" ht="11.25" customHeight="1">
      <c r="D1582" s="163"/>
      <c r="E1582" s="163"/>
      <c r="F1582" s="163"/>
      <c r="G1582" s="163"/>
      <c r="H1582" s="163"/>
    </row>
    <row r="1583" spans="4:8" ht="11.25" customHeight="1">
      <c r="D1583" s="163"/>
      <c r="E1583" s="163"/>
      <c r="F1583" s="163"/>
      <c r="G1583" s="163"/>
      <c r="H1583" s="163"/>
    </row>
    <row r="1584" spans="4:8" ht="11.25" customHeight="1">
      <c r="D1584" s="163"/>
      <c r="E1584" s="163"/>
      <c r="F1584" s="163"/>
      <c r="G1584" s="163"/>
      <c r="H1584" s="163"/>
    </row>
    <row r="1585" spans="4:8" ht="11.25" customHeight="1">
      <c r="D1585" s="163"/>
      <c r="E1585" s="163"/>
      <c r="F1585" s="163"/>
      <c r="G1585" s="163"/>
      <c r="H1585" s="163"/>
    </row>
    <row r="1586" spans="4:8" ht="11.25" customHeight="1">
      <c r="D1586" s="163"/>
      <c r="E1586" s="163"/>
      <c r="F1586" s="163"/>
      <c r="G1586" s="163"/>
      <c r="H1586" s="163"/>
    </row>
    <row r="1587" spans="4:8" ht="11.25" customHeight="1">
      <c r="D1587" s="163"/>
      <c r="E1587" s="163"/>
      <c r="F1587" s="163"/>
      <c r="G1587" s="163"/>
      <c r="H1587" s="163"/>
    </row>
    <row r="1588" spans="4:8" ht="11.25" customHeight="1">
      <c r="D1588" s="163"/>
      <c r="E1588" s="163"/>
      <c r="F1588" s="163"/>
      <c r="G1588" s="163"/>
      <c r="H1588" s="163"/>
    </row>
    <row r="1589" spans="4:8" ht="11.25" customHeight="1">
      <c r="D1589" s="163"/>
      <c r="E1589" s="163"/>
      <c r="F1589" s="163"/>
      <c r="G1589" s="163"/>
      <c r="H1589" s="163"/>
    </row>
    <row r="1590" spans="4:8" ht="11.25" customHeight="1">
      <c r="D1590" s="163"/>
      <c r="E1590" s="163"/>
      <c r="F1590" s="163"/>
      <c r="G1590" s="163"/>
      <c r="H1590" s="163"/>
    </row>
    <row r="1591" spans="4:8" ht="11.25" customHeight="1">
      <c r="D1591" s="163"/>
      <c r="E1591" s="163"/>
      <c r="F1591" s="163"/>
      <c r="G1591" s="163"/>
      <c r="H1591" s="163"/>
    </row>
    <row r="1592" spans="4:8" ht="11.25" customHeight="1">
      <c r="D1592" s="163"/>
      <c r="E1592" s="163"/>
      <c r="F1592" s="163"/>
      <c r="G1592" s="163"/>
      <c r="H1592" s="163"/>
    </row>
    <row r="1593" spans="4:8" ht="11.25" customHeight="1">
      <c r="D1593" s="163"/>
      <c r="E1593" s="163"/>
      <c r="F1593" s="163"/>
      <c r="G1593" s="163"/>
      <c r="H1593" s="163"/>
    </row>
    <row r="1594" spans="4:8" ht="11.25" customHeight="1">
      <c r="D1594" s="163"/>
      <c r="E1594" s="163"/>
      <c r="F1594" s="163"/>
      <c r="G1594" s="163"/>
      <c r="H1594" s="163"/>
    </row>
    <row r="1595" spans="4:8" ht="11.25" customHeight="1">
      <c r="D1595" s="163"/>
      <c r="E1595" s="163"/>
      <c r="F1595" s="163"/>
      <c r="G1595" s="163"/>
      <c r="H1595" s="163"/>
    </row>
    <row r="1596" spans="4:8" ht="11.25" customHeight="1">
      <c r="D1596" s="163"/>
      <c r="E1596" s="163"/>
      <c r="F1596" s="163"/>
      <c r="G1596" s="163"/>
      <c r="H1596" s="163"/>
    </row>
    <row r="1597" spans="4:8" ht="11.25" customHeight="1">
      <c r="D1597" s="163"/>
      <c r="E1597" s="163"/>
      <c r="F1597" s="163"/>
      <c r="G1597" s="163"/>
      <c r="H1597" s="163"/>
    </row>
    <row r="1598" spans="4:8" ht="11.25" customHeight="1">
      <c r="D1598" s="163"/>
      <c r="E1598" s="163"/>
      <c r="F1598" s="163"/>
      <c r="G1598" s="163"/>
      <c r="H1598" s="163"/>
    </row>
    <row r="1599" spans="4:8" ht="11.25" customHeight="1">
      <c r="D1599" s="163"/>
      <c r="E1599" s="163"/>
      <c r="F1599" s="163"/>
      <c r="G1599" s="163"/>
      <c r="H1599" s="163"/>
    </row>
    <row r="1600" spans="4:8" ht="11.25" customHeight="1">
      <c r="D1600" s="163"/>
      <c r="E1600" s="163"/>
      <c r="F1600" s="163"/>
      <c r="G1600" s="163"/>
      <c r="H1600" s="163"/>
    </row>
    <row r="1601" spans="4:8" ht="11.25" customHeight="1">
      <c r="D1601" s="163"/>
      <c r="E1601" s="163"/>
      <c r="F1601" s="163"/>
      <c r="G1601" s="163"/>
      <c r="H1601" s="163"/>
    </row>
    <row r="1602" spans="4:8" ht="11.25" customHeight="1">
      <c r="D1602" s="163"/>
      <c r="E1602" s="163"/>
      <c r="F1602" s="163"/>
      <c r="G1602" s="163"/>
      <c r="H1602" s="163"/>
    </row>
    <row r="1603" spans="4:8" ht="11.25" customHeight="1">
      <c r="D1603" s="163"/>
      <c r="E1603" s="163"/>
      <c r="F1603" s="163"/>
      <c r="G1603" s="163"/>
      <c r="H1603" s="163"/>
    </row>
    <row r="1604" spans="4:8" ht="11.25" customHeight="1">
      <c r="D1604" s="163"/>
      <c r="E1604" s="163"/>
      <c r="F1604" s="163"/>
      <c r="G1604" s="163"/>
      <c r="H1604" s="163"/>
    </row>
    <row r="1605" spans="4:8" ht="11.25" customHeight="1">
      <c r="D1605" s="163"/>
      <c r="E1605" s="163"/>
      <c r="F1605" s="163"/>
      <c r="G1605" s="163"/>
      <c r="H1605" s="163"/>
    </row>
    <row r="1606" spans="4:8" ht="11.25" customHeight="1">
      <c r="D1606" s="163"/>
      <c r="E1606" s="163"/>
      <c r="F1606" s="163"/>
      <c r="G1606" s="163"/>
      <c r="H1606" s="163"/>
    </row>
    <row r="1607" spans="4:8" ht="11.25" customHeight="1">
      <c r="D1607" s="163"/>
      <c r="E1607" s="163"/>
      <c r="F1607" s="163"/>
      <c r="G1607" s="163"/>
      <c r="H1607" s="163"/>
    </row>
    <row r="1608" spans="4:8" ht="11.25" customHeight="1">
      <c r="D1608" s="163"/>
      <c r="E1608" s="163"/>
      <c r="F1608" s="163"/>
      <c r="G1608" s="163"/>
      <c r="H1608" s="163"/>
    </row>
    <row r="1609" spans="4:8" ht="11.25" customHeight="1">
      <c r="D1609" s="163"/>
      <c r="E1609" s="163"/>
      <c r="F1609" s="163"/>
      <c r="G1609" s="163"/>
      <c r="H1609" s="163"/>
    </row>
    <row r="1610" spans="4:8" ht="11.25" customHeight="1">
      <c r="D1610" s="163"/>
      <c r="E1610" s="163"/>
      <c r="F1610" s="163"/>
      <c r="G1610" s="163"/>
      <c r="H1610" s="163"/>
    </row>
    <row r="1611" spans="4:8" ht="11.25" customHeight="1">
      <c r="D1611" s="163"/>
      <c r="E1611" s="163"/>
      <c r="F1611" s="163"/>
      <c r="G1611" s="163"/>
      <c r="H1611" s="163"/>
    </row>
    <row r="1612" spans="4:8" ht="11.25" customHeight="1">
      <c r="D1612" s="163"/>
      <c r="E1612" s="163"/>
      <c r="F1612" s="163"/>
      <c r="G1612" s="163"/>
      <c r="H1612" s="163"/>
    </row>
    <row r="1613" spans="4:8" ht="11.25" customHeight="1">
      <c r="D1613" s="163"/>
      <c r="E1613" s="163"/>
      <c r="F1613" s="163"/>
      <c r="G1613" s="163"/>
      <c r="H1613" s="163"/>
    </row>
    <row r="1614" spans="4:8" ht="11.25" customHeight="1">
      <c r="D1614" s="163"/>
      <c r="E1614" s="163"/>
      <c r="F1614" s="163"/>
      <c r="G1614" s="163"/>
      <c r="H1614" s="163"/>
    </row>
    <row r="1615" spans="4:8" ht="11.25" customHeight="1">
      <c r="D1615" s="163"/>
      <c r="E1615" s="163"/>
      <c r="F1615" s="163"/>
      <c r="G1615" s="163"/>
      <c r="H1615" s="163"/>
    </row>
    <row r="1616" spans="4:8" ht="11.25" customHeight="1">
      <c r="D1616" s="163"/>
      <c r="E1616" s="163"/>
      <c r="F1616" s="163"/>
      <c r="G1616" s="163"/>
      <c r="H1616" s="163"/>
    </row>
    <row r="1617" spans="4:8" ht="11.25" customHeight="1">
      <c r="D1617" s="163"/>
      <c r="E1617" s="163"/>
      <c r="F1617" s="163"/>
      <c r="G1617" s="163"/>
      <c r="H1617" s="163"/>
    </row>
    <row r="1618" spans="4:8" ht="11.25" customHeight="1">
      <c r="D1618" s="163"/>
      <c r="E1618" s="163"/>
      <c r="F1618" s="163"/>
      <c r="G1618" s="163"/>
      <c r="H1618" s="163"/>
    </row>
    <row r="1619" spans="4:8" ht="11.25" customHeight="1">
      <c r="D1619" s="163"/>
      <c r="E1619" s="163"/>
      <c r="F1619" s="163"/>
      <c r="G1619" s="163"/>
      <c r="H1619" s="163"/>
    </row>
    <row r="1620" spans="4:8" ht="11.25" customHeight="1">
      <c r="D1620" s="163"/>
      <c r="E1620" s="163"/>
      <c r="F1620" s="163"/>
      <c r="G1620" s="163"/>
      <c r="H1620" s="163"/>
    </row>
    <row r="1621" spans="4:8" ht="11.25" customHeight="1">
      <c r="D1621" s="163"/>
      <c r="E1621" s="163"/>
      <c r="F1621" s="163"/>
      <c r="G1621" s="163"/>
      <c r="H1621" s="163"/>
    </row>
    <row r="1622" spans="4:8" ht="11.25" customHeight="1">
      <c r="D1622" s="163"/>
      <c r="E1622" s="163"/>
      <c r="F1622" s="163"/>
      <c r="G1622" s="163"/>
      <c r="H1622" s="163"/>
    </row>
    <row r="1623" spans="4:8" ht="11.25" customHeight="1">
      <c r="D1623" s="163"/>
      <c r="E1623" s="163"/>
      <c r="F1623" s="163"/>
      <c r="G1623" s="163"/>
      <c r="H1623" s="163"/>
    </row>
    <row r="1624" spans="4:8" ht="11.25" customHeight="1">
      <c r="D1624" s="163"/>
      <c r="E1624" s="163"/>
      <c r="F1624" s="163"/>
      <c r="G1624" s="163"/>
      <c r="H1624" s="163"/>
    </row>
    <row r="1625" spans="4:8" ht="11.25" customHeight="1">
      <c r="D1625" s="163"/>
      <c r="E1625" s="163"/>
      <c r="F1625" s="163"/>
      <c r="G1625" s="163"/>
      <c r="H1625" s="163"/>
    </row>
    <row r="1626" spans="4:8" ht="11.25" customHeight="1">
      <c r="D1626" s="163"/>
      <c r="E1626" s="163"/>
      <c r="F1626" s="163"/>
      <c r="G1626" s="163"/>
      <c r="H1626" s="163"/>
    </row>
    <row r="1627" spans="4:8" ht="11.25" customHeight="1">
      <c r="D1627" s="163"/>
      <c r="E1627" s="163"/>
      <c r="F1627" s="163"/>
      <c r="G1627" s="163"/>
      <c r="H1627" s="163"/>
    </row>
    <row r="1628" spans="4:8" ht="11.25" customHeight="1">
      <c r="D1628" s="163"/>
      <c r="E1628" s="163"/>
      <c r="F1628" s="163"/>
      <c r="G1628" s="163"/>
      <c r="H1628" s="163"/>
    </row>
    <row r="1629" spans="4:8" ht="11.25" customHeight="1">
      <c r="D1629" s="163"/>
      <c r="E1629" s="163"/>
      <c r="F1629" s="163"/>
      <c r="G1629" s="163"/>
      <c r="H1629" s="163"/>
    </row>
    <row r="1630" spans="4:8" ht="11.25" customHeight="1">
      <c r="D1630" s="163"/>
      <c r="E1630" s="163"/>
      <c r="F1630" s="163"/>
      <c r="G1630" s="163"/>
      <c r="H1630" s="163"/>
    </row>
    <row r="1631" spans="4:8" ht="11.25" customHeight="1">
      <c r="D1631" s="163"/>
      <c r="E1631" s="163"/>
      <c r="F1631" s="163"/>
      <c r="G1631" s="163"/>
      <c r="H1631" s="163"/>
    </row>
    <row r="1632" spans="4:8" ht="11.25" customHeight="1">
      <c r="D1632" s="163"/>
      <c r="E1632" s="163"/>
      <c r="F1632" s="163"/>
      <c r="G1632" s="163"/>
      <c r="H1632" s="163"/>
    </row>
    <row r="1633" spans="4:8" ht="11.25" customHeight="1">
      <c r="D1633" s="163"/>
      <c r="E1633" s="163"/>
      <c r="F1633" s="163"/>
      <c r="G1633" s="163"/>
      <c r="H1633" s="163"/>
    </row>
    <row r="1634" spans="4:8" ht="11.25" customHeight="1">
      <c r="D1634" s="163"/>
      <c r="E1634" s="163"/>
      <c r="F1634" s="163"/>
      <c r="G1634" s="163"/>
      <c r="H1634" s="163"/>
    </row>
    <row r="1635" spans="4:8" ht="11.25" customHeight="1">
      <c r="D1635" s="163"/>
      <c r="E1635" s="163"/>
      <c r="F1635" s="163"/>
      <c r="G1635" s="163"/>
      <c r="H1635" s="163"/>
    </row>
    <row r="1636" spans="4:8" ht="11.25" customHeight="1">
      <c r="D1636" s="163"/>
      <c r="E1636" s="163"/>
      <c r="F1636" s="163"/>
      <c r="G1636" s="163"/>
      <c r="H1636" s="163"/>
    </row>
    <row r="1637" spans="4:8" ht="11.25" customHeight="1">
      <c r="D1637" s="163"/>
      <c r="E1637" s="163"/>
      <c r="F1637" s="163"/>
      <c r="G1637" s="163"/>
      <c r="H1637" s="163"/>
    </row>
    <row r="1638" spans="4:8" ht="11.25" customHeight="1">
      <c r="D1638" s="163"/>
      <c r="E1638" s="163"/>
      <c r="F1638" s="163"/>
      <c r="G1638" s="163"/>
      <c r="H1638" s="163"/>
    </row>
    <row r="1639" spans="4:8" ht="11.25" customHeight="1">
      <c r="D1639" s="163"/>
      <c r="E1639" s="163"/>
      <c r="F1639" s="163"/>
      <c r="G1639" s="163"/>
      <c r="H1639" s="163"/>
    </row>
    <row r="1640" spans="4:8" ht="11.25" customHeight="1">
      <c r="D1640" s="163"/>
      <c r="E1640" s="163"/>
      <c r="F1640" s="163"/>
      <c r="G1640" s="163"/>
      <c r="H1640" s="163"/>
    </row>
    <row r="1641" spans="4:8" ht="11.25" customHeight="1">
      <c r="D1641" s="163"/>
      <c r="E1641" s="163"/>
      <c r="F1641" s="163"/>
      <c r="G1641" s="163"/>
      <c r="H1641" s="163"/>
    </row>
    <row r="1642" spans="4:8" ht="11.25" customHeight="1">
      <c r="D1642" s="163"/>
      <c r="E1642" s="163"/>
      <c r="F1642" s="163"/>
      <c r="G1642" s="163"/>
      <c r="H1642" s="163"/>
    </row>
    <row r="1643" spans="4:8" ht="11.25" customHeight="1">
      <c r="D1643" s="163"/>
      <c r="E1643" s="163"/>
      <c r="F1643" s="163"/>
      <c r="G1643" s="163"/>
      <c r="H1643" s="163"/>
    </row>
    <row r="1644" spans="4:8" ht="11.25" customHeight="1">
      <c r="D1644" s="163"/>
      <c r="E1644" s="163"/>
      <c r="F1644" s="163"/>
      <c r="G1644" s="163"/>
      <c r="H1644" s="163"/>
    </row>
    <row r="1645" spans="4:8" ht="11.25" customHeight="1">
      <c r="D1645" s="163"/>
      <c r="E1645" s="163"/>
      <c r="F1645" s="163"/>
      <c r="G1645" s="163"/>
      <c r="H1645" s="163"/>
    </row>
    <row r="1646" spans="4:8" ht="11.25" customHeight="1">
      <c r="D1646" s="163"/>
      <c r="E1646" s="163"/>
      <c r="F1646" s="163"/>
      <c r="G1646" s="163"/>
      <c r="H1646" s="163"/>
    </row>
    <row r="1647" spans="4:8" ht="11.25" customHeight="1">
      <c r="D1647" s="163"/>
      <c r="E1647" s="163"/>
      <c r="F1647" s="163"/>
      <c r="G1647" s="163"/>
      <c r="H1647" s="163"/>
    </row>
    <row r="1648" spans="4:8" ht="11.25" customHeight="1">
      <c r="D1648" s="163"/>
      <c r="E1648" s="163"/>
      <c r="F1648" s="163"/>
      <c r="G1648" s="163"/>
      <c r="H1648" s="163"/>
    </row>
    <row r="1649" spans="4:8" ht="11.25" customHeight="1">
      <c r="D1649" s="163"/>
      <c r="E1649" s="163"/>
      <c r="F1649" s="163"/>
      <c r="G1649" s="163"/>
      <c r="H1649" s="163"/>
    </row>
    <row r="1650" spans="4:8" ht="11.25" customHeight="1">
      <c r="D1650" s="163"/>
      <c r="E1650" s="163"/>
      <c r="F1650" s="163"/>
      <c r="G1650" s="163"/>
      <c r="H1650" s="163"/>
    </row>
    <row r="1651" spans="4:8" ht="11.25" customHeight="1">
      <c r="D1651" s="163"/>
      <c r="E1651" s="163"/>
      <c r="F1651" s="163"/>
      <c r="G1651" s="163"/>
      <c r="H1651" s="163"/>
    </row>
    <row r="1652" spans="4:8" ht="11.25" customHeight="1">
      <c r="D1652" s="163"/>
      <c r="E1652" s="163"/>
      <c r="F1652" s="163"/>
      <c r="G1652" s="163"/>
      <c r="H1652" s="163"/>
    </row>
    <row r="1653" spans="4:8" ht="11.25" customHeight="1">
      <c r="D1653" s="163"/>
      <c r="E1653" s="163"/>
      <c r="F1653" s="163"/>
      <c r="G1653" s="163"/>
      <c r="H1653" s="163"/>
    </row>
    <row r="1654" spans="4:8" ht="11.25" customHeight="1">
      <c r="D1654" s="163"/>
      <c r="E1654" s="163"/>
      <c r="F1654" s="163"/>
      <c r="G1654" s="163"/>
      <c r="H1654" s="163"/>
    </row>
    <row r="1655" spans="4:8" ht="11.25" customHeight="1">
      <c r="D1655" s="163"/>
      <c r="E1655" s="163"/>
      <c r="F1655" s="163"/>
      <c r="G1655" s="163"/>
      <c r="H1655" s="163"/>
    </row>
    <row r="1656" spans="4:8" ht="11.25" customHeight="1">
      <c r="D1656" s="163"/>
      <c r="E1656" s="163"/>
      <c r="F1656" s="163"/>
      <c r="G1656" s="163"/>
      <c r="H1656" s="163"/>
    </row>
    <row r="1657" spans="4:8" ht="11.25" customHeight="1">
      <c r="D1657" s="163"/>
      <c r="E1657" s="163"/>
      <c r="F1657" s="163"/>
      <c r="G1657" s="163"/>
      <c r="H1657" s="163"/>
    </row>
    <row r="1658" spans="4:8" ht="11.25" customHeight="1">
      <c r="D1658" s="163"/>
      <c r="E1658" s="163"/>
      <c r="F1658" s="163"/>
      <c r="G1658" s="163"/>
      <c r="H1658" s="163"/>
    </row>
    <row r="1659" spans="4:8" ht="11.25" customHeight="1">
      <c r="D1659" s="163"/>
      <c r="E1659" s="163"/>
      <c r="F1659" s="163"/>
      <c r="G1659" s="163"/>
      <c r="H1659" s="163"/>
    </row>
    <row r="1660" spans="4:8" ht="11.25" customHeight="1">
      <c r="D1660" s="163"/>
      <c r="E1660" s="163"/>
      <c r="F1660" s="163"/>
      <c r="G1660" s="163"/>
      <c r="H1660" s="163"/>
    </row>
    <row r="1661" spans="4:8" ht="11.25" customHeight="1">
      <c r="D1661" s="163"/>
      <c r="E1661" s="163"/>
      <c r="F1661" s="163"/>
      <c r="G1661" s="163"/>
      <c r="H1661" s="163"/>
    </row>
    <row r="1662" spans="4:8" ht="11.25" customHeight="1">
      <c r="D1662" s="163"/>
      <c r="E1662" s="163"/>
      <c r="F1662" s="163"/>
      <c r="G1662" s="163"/>
      <c r="H1662" s="163"/>
    </row>
    <row r="1663" spans="4:8" ht="11.25" customHeight="1">
      <c r="D1663" s="163"/>
      <c r="E1663" s="163"/>
      <c r="F1663" s="163"/>
      <c r="G1663" s="163"/>
      <c r="H1663" s="163"/>
    </row>
    <row r="1664" spans="4:8" ht="11.25" customHeight="1">
      <c r="D1664" s="163"/>
      <c r="E1664" s="163"/>
      <c r="F1664" s="163"/>
      <c r="G1664" s="163"/>
      <c r="H1664" s="163"/>
    </row>
    <row r="1665" spans="4:8" ht="11.25" customHeight="1">
      <c r="D1665" s="163"/>
      <c r="E1665" s="163"/>
      <c r="F1665" s="163"/>
      <c r="G1665" s="163"/>
      <c r="H1665" s="163"/>
    </row>
    <row r="1666" spans="4:8" ht="11.25" customHeight="1">
      <c r="D1666" s="163"/>
      <c r="E1666" s="163"/>
      <c r="F1666" s="163"/>
      <c r="G1666" s="163"/>
      <c r="H1666" s="163"/>
    </row>
    <row r="1667" spans="4:8" ht="11.25" customHeight="1">
      <c r="D1667" s="163"/>
      <c r="E1667" s="163"/>
      <c r="F1667" s="163"/>
      <c r="G1667" s="163"/>
      <c r="H1667" s="163"/>
    </row>
    <row r="1668" spans="4:8" ht="11.25" customHeight="1">
      <c r="D1668" s="163"/>
      <c r="E1668" s="163"/>
      <c r="F1668" s="163"/>
      <c r="G1668" s="163"/>
      <c r="H1668" s="163"/>
    </row>
    <row r="1669" spans="4:8" ht="11.25" customHeight="1">
      <c r="D1669" s="163"/>
      <c r="E1669" s="163"/>
      <c r="F1669" s="163"/>
      <c r="G1669" s="163"/>
      <c r="H1669" s="163"/>
    </row>
    <row r="1670" spans="4:8" ht="11.25" customHeight="1">
      <c r="D1670" s="163"/>
      <c r="E1670" s="163"/>
      <c r="F1670" s="163"/>
      <c r="G1670" s="163"/>
      <c r="H1670" s="163"/>
    </row>
    <row r="1671" spans="4:8" ht="11.25" customHeight="1">
      <c r="D1671" s="163"/>
      <c r="E1671" s="163"/>
      <c r="F1671" s="163"/>
      <c r="G1671" s="163"/>
      <c r="H1671" s="163"/>
    </row>
    <row r="1672" spans="4:8" ht="11.25" customHeight="1">
      <c r="D1672" s="163"/>
      <c r="E1672" s="163"/>
      <c r="F1672" s="163"/>
      <c r="G1672" s="163"/>
      <c r="H1672" s="163"/>
    </row>
    <row r="1673" spans="4:8" ht="11.25" customHeight="1">
      <c r="D1673" s="163"/>
      <c r="E1673" s="163"/>
      <c r="F1673" s="163"/>
      <c r="G1673" s="163"/>
      <c r="H1673" s="163"/>
    </row>
    <row r="1674" spans="4:8" ht="11.25" customHeight="1">
      <c r="D1674" s="163"/>
      <c r="E1674" s="163"/>
      <c r="F1674" s="163"/>
      <c r="G1674" s="163"/>
      <c r="H1674" s="163"/>
    </row>
    <row r="1675" spans="4:8" ht="11.25" customHeight="1">
      <c r="D1675" s="163"/>
      <c r="E1675" s="163"/>
      <c r="F1675" s="163"/>
      <c r="G1675" s="163"/>
      <c r="H1675" s="163"/>
    </row>
    <row r="1676" spans="4:8" ht="11.25" customHeight="1">
      <c r="D1676" s="163"/>
      <c r="E1676" s="163"/>
      <c r="F1676" s="163"/>
      <c r="G1676" s="163"/>
      <c r="H1676" s="163"/>
    </row>
    <row r="1677" spans="4:8" ht="11.25" customHeight="1">
      <c r="D1677" s="163"/>
      <c r="E1677" s="163"/>
      <c r="F1677" s="163"/>
      <c r="G1677" s="163"/>
      <c r="H1677" s="163"/>
    </row>
    <row r="1678" spans="4:8" ht="11.25" customHeight="1">
      <c r="D1678" s="163"/>
      <c r="E1678" s="163"/>
      <c r="F1678" s="163"/>
      <c r="G1678" s="163"/>
      <c r="H1678" s="163"/>
    </row>
    <row r="1679" spans="4:8" ht="11.25" customHeight="1">
      <c r="D1679" s="163"/>
      <c r="E1679" s="163"/>
      <c r="F1679" s="163"/>
      <c r="G1679" s="163"/>
      <c r="H1679" s="163"/>
    </row>
    <row r="1680" spans="4:8" ht="11.25" customHeight="1">
      <c r="D1680" s="163"/>
      <c r="E1680" s="163"/>
      <c r="F1680" s="163"/>
      <c r="G1680" s="163"/>
      <c r="H1680" s="163"/>
    </row>
    <row r="1681" spans="4:8" ht="11.25" customHeight="1">
      <c r="D1681" s="163"/>
      <c r="E1681" s="163"/>
      <c r="F1681" s="163"/>
      <c r="G1681" s="163"/>
      <c r="H1681" s="163"/>
    </row>
    <row r="1682" spans="4:8" ht="11.25" customHeight="1">
      <c r="D1682" s="163"/>
      <c r="E1682" s="163"/>
      <c r="F1682" s="163"/>
      <c r="G1682" s="163"/>
      <c r="H1682" s="163"/>
    </row>
    <row r="1683" spans="4:8" ht="11.25" customHeight="1">
      <c r="D1683" s="163"/>
      <c r="E1683" s="163"/>
      <c r="F1683" s="163"/>
      <c r="G1683" s="163"/>
      <c r="H1683" s="163"/>
    </row>
    <row r="1684" spans="4:8" ht="11.25" customHeight="1">
      <c r="D1684" s="163"/>
      <c r="E1684" s="163"/>
      <c r="F1684" s="163"/>
      <c r="G1684" s="163"/>
      <c r="H1684" s="163"/>
    </row>
    <row r="1685" spans="4:8" ht="11.25" customHeight="1">
      <c r="D1685" s="163"/>
      <c r="E1685" s="163"/>
      <c r="F1685" s="163"/>
      <c r="G1685" s="163"/>
      <c r="H1685" s="163"/>
    </row>
    <row r="1686" spans="4:8" ht="11.25" customHeight="1">
      <c r="D1686" s="163"/>
      <c r="E1686" s="163"/>
      <c r="F1686" s="163"/>
      <c r="G1686" s="163"/>
      <c r="H1686" s="163"/>
    </row>
    <row r="1687" spans="4:8" ht="11.25" customHeight="1">
      <c r="D1687" s="163"/>
      <c r="E1687" s="163"/>
      <c r="F1687" s="163"/>
      <c r="G1687" s="163"/>
      <c r="H1687" s="163"/>
    </row>
    <row r="1688" spans="4:8" ht="11.25" customHeight="1">
      <c r="D1688" s="163"/>
      <c r="E1688" s="163"/>
      <c r="F1688" s="163"/>
      <c r="G1688" s="163"/>
      <c r="H1688" s="163"/>
    </row>
    <row r="1689" spans="4:8" ht="11.25" customHeight="1">
      <c r="D1689" s="163"/>
      <c r="E1689" s="163"/>
      <c r="F1689" s="163"/>
      <c r="G1689" s="163"/>
      <c r="H1689" s="163"/>
    </row>
    <row r="1690" spans="4:8" ht="11.25" customHeight="1">
      <c r="D1690" s="163"/>
      <c r="E1690" s="163"/>
      <c r="F1690" s="163"/>
      <c r="G1690" s="163"/>
      <c r="H1690" s="163"/>
    </row>
    <row r="1691" spans="4:8" ht="11.25" customHeight="1">
      <c r="D1691" s="163"/>
      <c r="E1691" s="163"/>
      <c r="F1691" s="163"/>
      <c r="G1691" s="163"/>
      <c r="H1691" s="163"/>
    </row>
    <row r="1692" spans="4:8" ht="11.25" customHeight="1">
      <c r="D1692" s="163"/>
      <c r="E1692" s="163"/>
      <c r="F1692" s="163"/>
      <c r="G1692" s="163"/>
      <c r="H1692" s="163"/>
    </row>
    <row r="1693" spans="4:8" ht="11.25" customHeight="1">
      <c r="D1693" s="163"/>
      <c r="E1693" s="163"/>
      <c r="F1693" s="163"/>
      <c r="G1693" s="163"/>
      <c r="H1693" s="163"/>
    </row>
    <row r="1694" spans="4:8" ht="11.25" customHeight="1">
      <c r="D1694" s="163"/>
      <c r="E1694" s="163"/>
      <c r="F1694" s="163"/>
      <c r="G1694" s="163"/>
      <c r="H1694" s="163"/>
    </row>
    <row r="1695" spans="4:8" ht="11.25" customHeight="1">
      <c r="D1695" s="163"/>
      <c r="E1695" s="163"/>
      <c r="F1695" s="163"/>
      <c r="G1695" s="163"/>
      <c r="H1695" s="163"/>
    </row>
    <row r="1696" spans="4:8" ht="11.25" customHeight="1">
      <c r="D1696" s="163"/>
      <c r="E1696" s="163"/>
      <c r="F1696" s="163"/>
      <c r="G1696" s="163"/>
      <c r="H1696" s="163"/>
    </row>
    <row r="1697" spans="4:8" ht="11.25" customHeight="1">
      <c r="D1697" s="163"/>
      <c r="E1697" s="163"/>
      <c r="F1697" s="163"/>
      <c r="G1697" s="163"/>
      <c r="H1697" s="163"/>
    </row>
    <row r="1698" spans="4:8" ht="11.25" customHeight="1">
      <c r="D1698" s="163"/>
      <c r="E1698" s="163"/>
      <c r="F1698" s="163"/>
      <c r="G1698" s="163"/>
      <c r="H1698" s="163"/>
    </row>
    <row r="1699" spans="4:8" ht="11.25" customHeight="1">
      <c r="D1699" s="163"/>
      <c r="E1699" s="163"/>
      <c r="F1699" s="163"/>
      <c r="G1699" s="163"/>
      <c r="H1699" s="163"/>
    </row>
    <row r="1700" spans="4:8" ht="11.25" customHeight="1">
      <c r="D1700" s="163"/>
      <c r="E1700" s="163"/>
      <c r="F1700" s="163"/>
      <c r="G1700" s="163"/>
      <c r="H1700" s="163"/>
    </row>
    <row r="1701" spans="4:8" ht="11.25" customHeight="1">
      <c r="D1701" s="163"/>
      <c r="E1701" s="163"/>
      <c r="F1701" s="163"/>
      <c r="G1701" s="163"/>
      <c r="H1701" s="163"/>
    </row>
    <row r="1702" spans="4:8" ht="11.25" customHeight="1">
      <c r="D1702" s="163"/>
      <c r="E1702" s="163"/>
      <c r="F1702" s="163"/>
      <c r="G1702" s="163"/>
      <c r="H1702" s="163"/>
    </row>
    <row r="1703" spans="4:8" ht="11.25" customHeight="1">
      <c r="D1703" s="163"/>
      <c r="E1703" s="163"/>
      <c r="F1703" s="163"/>
      <c r="G1703" s="163"/>
      <c r="H1703" s="163"/>
    </row>
    <row r="1704" spans="4:8" ht="11.25" customHeight="1">
      <c r="D1704" s="163"/>
      <c r="E1704" s="163"/>
      <c r="F1704" s="163"/>
      <c r="G1704" s="163"/>
      <c r="H1704" s="163"/>
    </row>
    <row r="1705" spans="4:8" ht="11.25" customHeight="1">
      <c r="D1705" s="163"/>
      <c r="E1705" s="163"/>
      <c r="F1705" s="163"/>
      <c r="G1705" s="163"/>
      <c r="H1705" s="163"/>
    </row>
    <row r="1706" spans="4:8" ht="11.25" customHeight="1">
      <c r="D1706" s="163"/>
      <c r="E1706" s="163"/>
      <c r="F1706" s="163"/>
      <c r="G1706" s="163"/>
      <c r="H1706" s="163"/>
    </row>
    <row r="1707" spans="4:8" ht="11.25" customHeight="1">
      <c r="D1707" s="163"/>
      <c r="E1707" s="163"/>
      <c r="F1707" s="163"/>
      <c r="G1707" s="163"/>
      <c r="H1707" s="163"/>
    </row>
    <row r="1708" spans="4:8" ht="11.25" customHeight="1">
      <c r="D1708" s="163"/>
      <c r="E1708" s="163"/>
      <c r="F1708" s="163"/>
      <c r="G1708" s="163"/>
      <c r="H1708" s="163"/>
    </row>
    <row r="1709" spans="4:8" ht="11.25" customHeight="1">
      <c r="D1709" s="163"/>
      <c r="E1709" s="163"/>
      <c r="F1709" s="163"/>
      <c r="G1709" s="163"/>
      <c r="H1709" s="163"/>
    </row>
    <row r="1710" spans="4:8" ht="11.25" customHeight="1">
      <c r="D1710" s="163"/>
      <c r="E1710" s="163"/>
      <c r="F1710" s="163"/>
      <c r="G1710" s="163"/>
      <c r="H1710" s="163"/>
    </row>
    <row r="1711" spans="4:8" ht="11.25" customHeight="1">
      <c r="D1711" s="163"/>
      <c r="E1711" s="163"/>
      <c r="F1711" s="163"/>
      <c r="G1711" s="163"/>
      <c r="H1711" s="163"/>
    </row>
    <row r="1712" spans="4:8" ht="11.25" customHeight="1">
      <c r="D1712" s="163"/>
      <c r="E1712" s="163"/>
      <c r="F1712" s="163"/>
      <c r="G1712" s="163"/>
      <c r="H1712" s="163"/>
    </row>
    <row r="1713" spans="4:8" ht="11.25" customHeight="1">
      <c r="D1713" s="163"/>
      <c r="E1713" s="163"/>
      <c r="F1713" s="163"/>
      <c r="G1713" s="163"/>
      <c r="H1713" s="163"/>
    </row>
    <row r="1714" spans="4:8" ht="11.25" customHeight="1">
      <c r="D1714" s="163"/>
      <c r="E1714" s="163"/>
      <c r="F1714" s="163"/>
      <c r="G1714" s="163"/>
      <c r="H1714" s="163"/>
    </row>
    <row r="1715" spans="4:8" ht="11.25" customHeight="1">
      <c r="D1715" s="163"/>
      <c r="E1715" s="163"/>
      <c r="F1715" s="163"/>
      <c r="G1715" s="163"/>
      <c r="H1715" s="163"/>
    </row>
    <row r="1716" spans="4:8" ht="11.25" customHeight="1">
      <c r="D1716" s="163"/>
      <c r="E1716" s="163"/>
      <c r="F1716" s="163"/>
      <c r="G1716" s="163"/>
      <c r="H1716" s="163"/>
    </row>
    <row r="1717" spans="4:8" ht="11.25" customHeight="1">
      <c r="D1717" s="163"/>
      <c r="E1717" s="163"/>
      <c r="F1717" s="163"/>
      <c r="G1717" s="163"/>
      <c r="H1717" s="163"/>
    </row>
    <row r="1718" spans="4:8" ht="11.25" customHeight="1">
      <c r="D1718" s="163"/>
      <c r="E1718" s="163"/>
      <c r="F1718" s="163"/>
      <c r="G1718" s="163"/>
      <c r="H1718" s="163"/>
    </row>
    <row r="1719" spans="4:8" ht="11.25" customHeight="1">
      <c r="D1719" s="163"/>
      <c r="E1719" s="163"/>
      <c r="F1719" s="163"/>
      <c r="G1719" s="163"/>
      <c r="H1719" s="163"/>
    </row>
    <row r="1720" spans="4:8" ht="11.25" customHeight="1">
      <c r="D1720" s="163"/>
      <c r="E1720" s="163"/>
      <c r="F1720" s="163"/>
      <c r="G1720" s="163"/>
      <c r="H1720" s="163"/>
    </row>
    <row r="1721" spans="4:8" ht="11.25" customHeight="1">
      <c r="D1721" s="163"/>
      <c r="E1721" s="163"/>
      <c r="F1721" s="163"/>
      <c r="G1721" s="163"/>
      <c r="H1721" s="163"/>
    </row>
    <row r="1722" spans="4:8" ht="11.25" customHeight="1">
      <c r="D1722" s="163"/>
      <c r="E1722" s="163"/>
      <c r="F1722" s="163"/>
      <c r="G1722" s="163"/>
      <c r="H1722" s="163"/>
    </row>
    <row r="1723" spans="4:8" ht="11.25" customHeight="1">
      <c r="D1723" s="163"/>
      <c r="E1723" s="163"/>
      <c r="F1723" s="163"/>
      <c r="G1723" s="163"/>
      <c r="H1723" s="163"/>
    </row>
    <row r="1724" spans="4:8" ht="11.25" customHeight="1">
      <c r="D1724" s="163"/>
      <c r="E1724" s="163"/>
      <c r="F1724" s="163"/>
      <c r="G1724" s="163"/>
      <c r="H1724" s="163"/>
    </row>
    <row r="1725" spans="4:8" ht="11.25" customHeight="1">
      <c r="D1725" s="163"/>
      <c r="E1725" s="163"/>
      <c r="F1725" s="163"/>
      <c r="G1725" s="163"/>
      <c r="H1725" s="163"/>
    </row>
    <row r="1726" spans="4:8" ht="11.25" customHeight="1">
      <c r="D1726" s="163"/>
      <c r="E1726" s="163"/>
      <c r="F1726" s="163"/>
      <c r="G1726" s="163"/>
      <c r="H1726" s="163"/>
    </row>
    <row r="1727" spans="4:8" ht="11.25" customHeight="1">
      <c r="D1727" s="163"/>
      <c r="E1727" s="163"/>
      <c r="F1727" s="163"/>
      <c r="G1727" s="163"/>
      <c r="H1727" s="163"/>
    </row>
    <row r="1728" spans="4:8" ht="11.25" customHeight="1">
      <c r="D1728" s="163"/>
      <c r="E1728" s="163"/>
      <c r="F1728" s="163"/>
      <c r="G1728" s="163"/>
      <c r="H1728" s="163"/>
    </row>
    <row r="1729" spans="4:8" ht="11.25" customHeight="1">
      <c r="D1729" s="163"/>
      <c r="E1729" s="163"/>
      <c r="F1729" s="163"/>
      <c r="G1729" s="163"/>
      <c r="H1729" s="163"/>
    </row>
    <row r="1730" spans="4:8" ht="11.25" customHeight="1">
      <c r="D1730" s="163"/>
      <c r="E1730" s="163"/>
      <c r="F1730" s="163"/>
      <c r="G1730" s="163"/>
      <c r="H1730" s="163"/>
    </row>
    <row r="1731" spans="4:8" ht="11.25" customHeight="1">
      <c r="D1731" s="163"/>
      <c r="E1731" s="163"/>
      <c r="F1731" s="163"/>
      <c r="G1731" s="163"/>
      <c r="H1731" s="163"/>
    </row>
    <row r="1732" spans="4:8" ht="11.25" customHeight="1">
      <c r="D1732" s="163"/>
      <c r="E1732" s="163"/>
      <c r="F1732" s="163"/>
      <c r="G1732" s="163"/>
      <c r="H1732" s="163"/>
    </row>
    <row r="1733" spans="4:8" ht="11.25" customHeight="1">
      <c r="D1733" s="163"/>
      <c r="E1733" s="163"/>
      <c r="F1733" s="163"/>
      <c r="G1733" s="163"/>
      <c r="H1733" s="163"/>
    </row>
    <row r="1734" spans="4:8" ht="11.25" customHeight="1">
      <c r="D1734" s="163"/>
      <c r="E1734" s="163"/>
      <c r="F1734" s="163"/>
      <c r="G1734" s="163"/>
      <c r="H1734" s="163"/>
    </row>
    <row r="1735" spans="4:8" ht="11.25" customHeight="1">
      <c r="D1735" s="163"/>
      <c r="E1735" s="163"/>
      <c r="F1735" s="163"/>
      <c r="G1735" s="163"/>
      <c r="H1735" s="163"/>
    </row>
    <row r="1736" spans="4:8" ht="11.25" customHeight="1">
      <c r="D1736" s="163"/>
      <c r="E1736" s="163"/>
      <c r="F1736" s="163"/>
      <c r="G1736" s="163"/>
      <c r="H1736" s="163"/>
    </row>
    <row r="1737" spans="4:8" ht="11.25" customHeight="1">
      <c r="D1737" s="163"/>
      <c r="E1737" s="163"/>
      <c r="F1737" s="163"/>
      <c r="G1737" s="163"/>
      <c r="H1737" s="163"/>
    </row>
    <row r="1738" spans="4:8" ht="11.25" customHeight="1">
      <c r="D1738" s="163"/>
      <c r="E1738" s="163"/>
      <c r="F1738" s="163"/>
      <c r="G1738" s="163"/>
      <c r="H1738" s="163"/>
    </row>
    <row r="1739" spans="4:8" ht="11.25" customHeight="1">
      <c r="D1739" s="163"/>
      <c r="E1739" s="163"/>
      <c r="F1739" s="163"/>
      <c r="G1739" s="163"/>
      <c r="H1739" s="163"/>
    </row>
    <row r="1740" spans="4:8" ht="11.25" customHeight="1">
      <c r="D1740" s="163"/>
      <c r="E1740" s="163"/>
      <c r="F1740" s="163"/>
      <c r="G1740" s="163"/>
      <c r="H1740" s="163"/>
    </row>
    <row r="1741" spans="4:8" ht="11.25" customHeight="1">
      <c r="D1741" s="163"/>
      <c r="E1741" s="163"/>
      <c r="F1741" s="163"/>
      <c r="G1741" s="163"/>
      <c r="H1741" s="163"/>
    </row>
    <row r="1742" spans="4:8" ht="11.25" customHeight="1">
      <c r="D1742" s="163"/>
      <c r="E1742" s="163"/>
      <c r="F1742" s="163"/>
      <c r="G1742" s="163"/>
      <c r="H1742" s="163"/>
    </row>
    <row r="1743" spans="4:8" ht="11.25" customHeight="1">
      <c r="D1743" s="163"/>
      <c r="E1743" s="163"/>
      <c r="F1743" s="163"/>
      <c r="G1743" s="163"/>
      <c r="H1743" s="163"/>
    </row>
    <row r="1744" spans="4:8" ht="11.25" customHeight="1">
      <c r="D1744" s="163"/>
      <c r="E1744" s="163"/>
      <c r="F1744" s="163"/>
      <c r="G1744" s="163"/>
      <c r="H1744" s="163"/>
    </row>
    <row r="1745" spans="4:8" ht="11.25" customHeight="1">
      <c r="D1745" s="163"/>
      <c r="E1745" s="163"/>
      <c r="F1745" s="163"/>
      <c r="G1745" s="163"/>
      <c r="H1745" s="163"/>
    </row>
    <row r="1746" spans="4:8" ht="11.25" customHeight="1">
      <c r="D1746" s="163"/>
      <c r="E1746" s="163"/>
      <c r="F1746" s="163"/>
      <c r="G1746" s="163"/>
      <c r="H1746" s="163"/>
    </row>
    <row r="1747" spans="4:8" ht="11.25" customHeight="1">
      <c r="D1747" s="163"/>
      <c r="E1747" s="163"/>
      <c r="F1747" s="163"/>
      <c r="G1747" s="163"/>
      <c r="H1747" s="163"/>
    </row>
    <row r="1748" spans="4:8" ht="11.25" customHeight="1">
      <c r="D1748" s="163"/>
      <c r="E1748" s="163"/>
      <c r="F1748" s="163"/>
      <c r="G1748" s="163"/>
      <c r="H1748" s="163"/>
    </row>
    <row r="1749" spans="4:8" ht="11.25" customHeight="1">
      <c r="D1749" s="163"/>
      <c r="E1749" s="163"/>
      <c r="F1749" s="163"/>
      <c r="G1749" s="163"/>
      <c r="H1749" s="163"/>
    </row>
    <row r="1750" spans="4:8" ht="11.25" customHeight="1">
      <c r="D1750" s="163"/>
      <c r="E1750" s="163"/>
      <c r="F1750" s="163"/>
      <c r="G1750" s="163"/>
      <c r="H1750" s="163"/>
    </row>
    <row r="1751" spans="4:8" ht="11.25" customHeight="1">
      <c r="D1751" s="163"/>
      <c r="E1751" s="163"/>
      <c r="F1751" s="163"/>
      <c r="G1751" s="163"/>
      <c r="H1751" s="163"/>
    </row>
    <row r="1752" spans="4:8" ht="11.25" customHeight="1">
      <c r="D1752" s="163"/>
      <c r="E1752" s="163"/>
      <c r="F1752" s="163"/>
      <c r="G1752" s="163"/>
      <c r="H1752" s="163"/>
    </row>
    <row r="1753" spans="4:8" ht="11.25" customHeight="1">
      <c r="D1753" s="163"/>
      <c r="E1753" s="163"/>
      <c r="F1753" s="163"/>
      <c r="G1753" s="163"/>
      <c r="H1753" s="163"/>
    </row>
    <row r="1754" spans="4:8" ht="11.25" customHeight="1">
      <c r="D1754" s="163"/>
      <c r="E1754" s="163"/>
      <c r="F1754" s="163"/>
      <c r="G1754" s="163"/>
      <c r="H1754" s="163"/>
    </row>
    <row r="1755" spans="4:8" ht="11.25" customHeight="1">
      <c r="D1755" s="163"/>
      <c r="E1755" s="163"/>
      <c r="F1755" s="163"/>
      <c r="G1755" s="163"/>
      <c r="H1755" s="163"/>
    </row>
    <row r="1756" spans="4:8" ht="11.25" customHeight="1">
      <c r="D1756" s="163"/>
      <c r="E1756" s="163"/>
      <c r="F1756" s="163"/>
      <c r="G1756" s="163"/>
      <c r="H1756" s="163"/>
    </row>
    <row r="1757" spans="4:8" ht="11.25" customHeight="1">
      <c r="D1757" s="163"/>
      <c r="E1757" s="163"/>
      <c r="F1757" s="163"/>
      <c r="G1757" s="163"/>
      <c r="H1757" s="163"/>
    </row>
    <row r="1758" spans="4:8" ht="11.25" customHeight="1">
      <c r="D1758" s="163"/>
      <c r="E1758" s="163"/>
      <c r="F1758" s="163"/>
      <c r="G1758" s="163"/>
      <c r="H1758" s="163"/>
    </row>
    <row r="1759" spans="4:8" ht="11.25" customHeight="1">
      <c r="D1759" s="163"/>
      <c r="E1759" s="163"/>
      <c r="F1759" s="163"/>
      <c r="G1759" s="163"/>
      <c r="H1759" s="163"/>
    </row>
    <row r="1760" spans="4:8" ht="11.25" customHeight="1">
      <c r="D1760" s="163"/>
      <c r="E1760" s="163"/>
      <c r="F1760" s="163"/>
      <c r="G1760" s="163"/>
      <c r="H1760" s="163"/>
    </row>
    <row r="1761" spans="4:8" ht="11.25" customHeight="1">
      <c r="D1761" s="163"/>
      <c r="E1761" s="163"/>
      <c r="F1761" s="163"/>
      <c r="G1761" s="163"/>
      <c r="H1761" s="163"/>
    </row>
    <row r="1762" spans="4:8" ht="11.25" customHeight="1">
      <c r="D1762" s="163"/>
      <c r="E1762" s="163"/>
      <c r="F1762" s="163"/>
      <c r="G1762" s="163"/>
      <c r="H1762" s="163"/>
    </row>
    <row r="1763" spans="4:8" ht="11.25" customHeight="1">
      <c r="D1763" s="163"/>
      <c r="E1763" s="163"/>
      <c r="F1763" s="163"/>
      <c r="G1763" s="163"/>
      <c r="H1763" s="163"/>
    </row>
    <row r="1764" spans="4:8" ht="11.25" customHeight="1">
      <c r="D1764" s="163"/>
      <c r="E1764" s="163"/>
      <c r="F1764" s="163"/>
      <c r="G1764" s="163"/>
      <c r="H1764" s="163"/>
    </row>
    <row r="1765" spans="4:8" ht="11.25" customHeight="1">
      <c r="D1765" s="163"/>
      <c r="E1765" s="163"/>
      <c r="F1765" s="163"/>
      <c r="G1765" s="163"/>
      <c r="H1765" s="163"/>
    </row>
    <row r="1766" spans="4:8" ht="11.25" customHeight="1">
      <c r="D1766" s="163"/>
      <c r="E1766" s="163"/>
      <c r="F1766" s="163"/>
      <c r="G1766" s="163"/>
      <c r="H1766" s="163"/>
    </row>
    <row r="1767" spans="4:8" ht="11.25" customHeight="1">
      <c r="D1767" s="163"/>
      <c r="E1767" s="163"/>
      <c r="F1767" s="163"/>
      <c r="G1767" s="163"/>
      <c r="H1767" s="163"/>
    </row>
    <row r="1768" spans="4:8" ht="11.25" customHeight="1">
      <c r="D1768" s="163"/>
      <c r="E1768" s="163"/>
      <c r="F1768" s="163"/>
      <c r="G1768" s="163"/>
      <c r="H1768" s="163"/>
    </row>
    <row r="1769" spans="4:8" ht="11.25" customHeight="1">
      <c r="D1769" s="163"/>
      <c r="E1769" s="163"/>
      <c r="F1769" s="163"/>
      <c r="G1769" s="163"/>
      <c r="H1769" s="163"/>
    </row>
    <row r="1770" spans="4:8" ht="11.25" customHeight="1">
      <c r="D1770" s="163"/>
      <c r="E1770" s="163"/>
      <c r="F1770" s="163"/>
      <c r="G1770" s="163"/>
      <c r="H1770" s="163"/>
    </row>
    <row r="1771" spans="4:8" ht="11.25" customHeight="1">
      <c r="D1771" s="163"/>
      <c r="E1771" s="163"/>
      <c r="F1771" s="163"/>
      <c r="G1771" s="163"/>
      <c r="H1771" s="163"/>
    </row>
    <row r="1772" spans="4:8" ht="11.25" customHeight="1">
      <c r="D1772" s="163"/>
      <c r="E1772" s="163"/>
      <c r="F1772" s="163"/>
      <c r="G1772" s="163"/>
      <c r="H1772" s="163"/>
    </row>
    <row r="1773" spans="4:8" ht="11.25" customHeight="1">
      <c r="D1773" s="163"/>
      <c r="E1773" s="163"/>
      <c r="F1773" s="163"/>
      <c r="G1773" s="163"/>
      <c r="H1773" s="163"/>
    </row>
    <row r="1774" spans="4:8" ht="11.25" customHeight="1">
      <c r="D1774" s="163"/>
      <c r="E1774" s="163"/>
      <c r="F1774" s="163"/>
      <c r="G1774" s="163"/>
      <c r="H1774" s="163"/>
    </row>
    <row r="1775" spans="4:8" ht="11.25" customHeight="1">
      <c r="D1775" s="163"/>
      <c r="E1775" s="163"/>
      <c r="F1775" s="163"/>
      <c r="G1775" s="163"/>
      <c r="H1775" s="163"/>
    </row>
    <row r="1776" spans="4:8" ht="11.25" customHeight="1">
      <c r="D1776" s="163"/>
      <c r="E1776" s="163"/>
      <c r="F1776" s="163"/>
      <c r="G1776" s="163"/>
      <c r="H1776" s="163"/>
    </row>
    <row r="1777" spans="4:8" ht="11.25" customHeight="1">
      <c r="D1777" s="163"/>
      <c r="E1777" s="163"/>
      <c r="F1777" s="163"/>
      <c r="G1777" s="163"/>
      <c r="H1777" s="163"/>
    </row>
    <row r="1778" spans="4:8" ht="11.25" customHeight="1">
      <c r="D1778" s="163"/>
      <c r="E1778" s="163"/>
      <c r="F1778" s="163"/>
      <c r="G1778" s="163"/>
      <c r="H1778" s="163"/>
    </row>
    <row r="1779" spans="4:8" ht="11.25" customHeight="1">
      <c r="D1779" s="163"/>
      <c r="E1779" s="163"/>
      <c r="F1779" s="163"/>
      <c r="G1779" s="163"/>
      <c r="H1779" s="163"/>
    </row>
    <row r="1780" spans="4:8" ht="11.25" customHeight="1">
      <c r="D1780" s="163"/>
      <c r="E1780" s="163"/>
      <c r="F1780" s="163"/>
      <c r="G1780" s="163"/>
      <c r="H1780" s="163"/>
    </row>
    <row r="1781" spans="4:8" ht="11.25" customHeight="1">
      <c r="D1781" s="163"/>
      <c r="E1781" s="163"/>
      <c r="F1781" s="163"/>
      <c r="G1781" s="163"/>
      <c r="H1781" s="163"/>
    </row>
    <row r="1782" spans="4:8" ht="11.25" customHeight="1">
      <c r="D1782" s="163"/>
      <c r="E1782" s="163"/>
      <c r="F1782" s="163"/>
      <c r="G1782" s="163"/>
      <c r="H1782" s="163"/>
    </row>
    <row r="1783" spans="4:8" ht="11.25" customHeight="1">
      <c r="D1783" s="163"/>
      <c r="E1783" s="163"/>
      <c r="F1783" s="163"/>
      <c r="G1783" s="163"/>
      <c r="H1783" s="163"/>
    </row>
    <row r="1784" spans="4:8" ht="11.25" customHeight="1">
      <c r="D1784" s="163"/>
      <c r="E1784" s="163"/>
      <c r="F1784" s="163"/>
      <c r="G1784" s="163"/>
      <c r="H1784" s="163"/>
    </row>
    <row r="1785" spans="4:8" ht="11.25" customHeight="1">
      <c r="D1785" s="163"/>
      <c r="E1785" s="163"/>
      <c r="F1785" s="163"/>
      <c r="G1785" s="163"/>
      <c r="H1785" s="163"/>
    </row>
    <row r="1786" spans="4:8" ht="11.25" customHeight="1">
      <c r="D1786" s="163"/>
      <c r="E1786" s="163"/>
      <c r="F1786" s="163"/>
      <c r="G1786" s="163"/>
      <c r="H1786" s="163"/>
    </row>
    <row r="1787" spans="4:8" ht="11.25" customHeight="1">
      <c r="D1787" s="163"/>
      <c r="E1787" s="163"/>
      <c r="F1787" s="163"/>
      <c r="G1787" s="163"/>
      <c r="H1787" s="163"/>
    </row>
    <row r="1788" spans="4:8" ht="11.25" customHeight="1">
      <c r="D1788" s="163"/>
      <c r="E1788" s="163"/>
      <c r="F1788" s="163"/>
      <c r="G1788" s="163"/>
      <c r="H1788" s="163"/>
    </row>
    <row r="1789" spans="4:8" ht="11.25" customHeight="1">
      <c r="D1789" s="163"/>
      <c r="E1789" s="163"/>
      <c r="F1789" s="163"/>
      <c r="G1789" s="163"/>
      <c r="H1789" s="163"/>
    </row>
    <row r="1790" spans="4:8" ht="11.25" customHeight="1">
      <c r="D1790" s="163"/>
      <c r="E1790" s="163"/>
      <c r="F1790" s="163"/>
      <c r="G1790" s="163"/>
      <c r="H1790" s="163"/>
    </row>
    <row r="1791" spans="4:8" ht="11.25" customHeight="1">
      <c r="D1791" s="163"/>
      <c r="E1791" s="163"/>
      <c r="F1791" s="163"/>
      <c r="G1791" s="163"/>
      <c r="H1791" s="163"/>
    </row>
    <row r="1792" spans="4:8" ht="11.25" customHeight="1">
      <c r="D1792" s="163"/>
      <c r="E1792" s="163"/>
      <c r="F1792" s="163"/>
      <c r="G1792" s="163"/>
      <c r="H1792" s="163"/>
    </row>
    <row r="1793" spans="4:8" ht="11.25" customHeight="1">
      <c r="D1793" s="163"/>
      <c r="E1793" s="163"/>
      <c r="F1793" s="163"/>
      <c r="G1793" s="163"/>
      <c r="H1793" s="163"/>
    </row>
    <row r="1794" spans="4:8" ht="11.25" customHeight="1">
      <c r="D1794" s="163"/>
      <c r="E1794" s="163"/>
      <c r="F1794" s="163"/>
      <c r="G1794" s="163"/>
      <c r="H1794" s="163"/>
    </row>
    <row r="1795" spans="4:8" ht="11.25" customHeight="1">
      <c r="D1795" s="163"/>
      <c r="E1795" s="163"/>
      <c r="F1795" s="163"/>
      <c r="G1795" s="163"/>
      <c r="H1795" s="163"/>
    </row>
    <row r="1796" spans="4:8" ht="11.25" customHeight="1">
      <c r="D1796" s="163"/>
      <c r="E1796" s="163"/>
      <c r="F1796" s="163"/>
      <c r="G1796" s="163"/>
      <c r="H1796" s="163"/>
    </row>
    <row r="1797" spans="4:8" ht="11.25" customHeight="1">
      <c r="D1797" s="163"/>
      <c r="E1797" s="163"/>
      <c r="F1797" s="163"/>
      <c r="G1797" s="163"/>
      <c r="H1797" s="163"/>
    </row>
    <row r="1798" spans="4:8" ht="11.25" customHeight="1">
      <c r="D1798" s="163"/>
      <c r="E1798" s="163"/>
      <c r="F1798" s="163"/>
      <c r="G1798" s="163"/>
      <c r="H1798" s="163"/>
    </row>
    <row r="1799" spans="4:8" ht="11.25" customHeight="1">
      <c r="D1799" s="163"/>
      <c r="E1799" s="163"/>
      <c r="F1799" s="163"/>
      <c r="G1799" s="163"/>
      <c r="H1799" s="163"/>
    </row>
    <row r="1800" spans="4:8" ht="11.25" customHeight="1">
      <c r="D1800" s="163"/>
      <c r="E1800" s="163"/>
      <c r="F1800" s="163"/>
      <c r="G1800" s="163"/>
      <c r="H1800" s="163"/>
    </row>
    <row r="1801" spans="4:8" ht="11.25" customHeight="1">
      <c r="D1801" s="163"/>
      <c r="E1801" s="163"/>
      <c r="F1801" s="163"/>
      <c r="G1801" s="163"/>
      <c r="H1801" s="163"/>
    </row>
    <row r="1802" spans="4:8" ht="11.25" customHeight="1">
      <c r="D1802" s="163"/>
      <c r="E1802" s="163"/>
      <c r="F1802" s="163"/>
      <c r="G1802" s="163"/>
      <c r="H1802" s="163"/>
    </row>
    <row r="1803" spans="4:8" ht="11.25" customHeight="1">
      <c r="D1803" s="163"/>
      <c r="E1803" s="163"/>
      <c r="F1803" s="163"/>
      <c r="G1803" s="163"/>
      <c r="H1803" s="163"/>
    </row>
    <row r="1804" spans="4:8" ht="11.25" customHeight="1">
      <c r="D1804" s="163"/>
      <c r="E1804" s="163"/>
      <c r="F1804" s="163"/>
      <c r="G1804" s="163"/>
      <c r="H1804" s="163"/>
    </row>
    <row r="1805" spans="4:8" ht="11.25" customHeight="1">
      <c r="D1805" s="163"/>
      <c r="E1805" s="163"/>
      <c r="F1805" s="163"/>
      <c r="G1805" s="163"/>
      <c r="H1805" s="163"/>
    </row>
    <row r="1806" spans="4:8" ht="11.25" customHeight="1">
      <c r="D1806" s="163"/>
      <c r="E1806" s="163"/>
      <c r="F1806" s="163"/>
      <c r="G1806" s="163"/>
      <c r="H1806" s="163"/>
    </row>
    <row r="1807" spans="4:8" ht="11.25" customHeight="1">
      <c r="D1807" s="163"/>
      <c r="E1807" s="163"/>
      <c r="F1807" s="163"/>
      <c r="G1807" s="163"/>
      <c r="H1807" s="163"/>
    </row>
    <row r="1808" spans="4:8" ht="11.25" customHeight="1">
      <c r="D1808" s="163"/>
      <c r="E1808" s="163"/>
      <c r="F1808" s="163"/>
      <c r="G1808" s="163"/>
      <c r="H1808" s="163"/>
    </row>
    <row r="1809" spans="4:8" ht="11.25" customHeight="1">
      <c r="D1809" s="163"/>
      <c r="E1809" s="163"/>
      <c r="F1809" s="163"/>
      <c r="G1809" s="163"/>
      <c r="H1809" s="163"/>
    </row>
    <row r="1810" spans="4:8" ht="11.25" customHeight="1">
      <c r="D1810" s="163"/>
      <c r="E1810" s="163"/>
      <c r="F1810" s="163"/>
      <c r="G1810" s="163"/>
      <c r="H1810" s="163"/>
    </row>
    <row r="1811" spans="4:8" ht="11.25" customHeight="1">
      <c r="D1811" s="163"/>
      <c r="E1811" s="163"/>
      <c r="F1811" s="163"/>
      <c r="G1811" s="163"/>
      <c r="H1811" s="163"/>
    </row>
    <row r="1812" spans="4:8" ht="11.25" customHeight="1">
      <c r="D1812" s="163"/>
      <c r="E1812" s="163"/>
      <c r="F1812" s="163"/>
      <c r="G1812" s="163"/>
      <c r="H1812" s="163"/>
    </row>
    <row r="1813" spans="4:8" ht="11.25" customHeight="1">
      <c r="D1813" s="163"/>
      <c r="E1813" s="163"/>
      <c r="F1813" s="163"/>
      <c r="G1813" s="163"/>
      <c r="H1813" s="163"/>
    </row>
    <row r="1814" spans="4:8" ht="11.25" customHeight="1">
      <c r="D1814" s="163"/>
      <c r="E1814" s="163"/>
      <c r="F1814" s="163"/>
      <c r="G1814" s="163"/>
      <c r="H1814" s="163"/>
    </row>
    <row r="1815" spans="4:8" ht="11.25" customHeight="1">
      <c r="D1815" s="163"/>
      <c r="E1815" s="163"/>
      <c r="F1815" s="163"/>
      <c r="G1815" s="163"/>
      <c r="H1815" s="163"/>
    </row>
    <row r="1816" spans="4:8" ht="11.25" customHeight="1">
      <c r="D1816" s="163"/>
      <c r="E1816" s="163"/>
      <c r="F1816" s="163"/>
      <c r="G1816" s="163"/>
      <c r="H1816" s="163"/>
    </row>
    <row r="1817" spans="4:8" ht="11.25" customHeight="1">
      <c r="D1817" s="163"/>
      <c r="E1817" s="163"/>
      <c r="F1817" s="163"/>
      <c r="G1817" s="163"/>
      <c r="H1817" s="163"/>
    </row>
    <row r="1818" spans="4:8" ht="11.25" customHeight="1">
      <c r="D1818" s="163"/>
      <c r="E1818" s="163"/>
      <c r="F1818" s="163"/>
      <c r="G1818" s="163"/>
      <c r="H1818" s="163"/>
    </row>
    <row r="1819" spans="4:8" ht="11.25" customHeight="1">
      <c r="D1819" s="163"/>
      <c r="E1819" s="163"/>
      <c r="F1819" s="163"/>
      <c r="G1819" s="163"/>
      <c r="H1819" s="163"/>
    </row>
    <row r="1820" spans="4:8" ht="11.25" customHeight="1">
      <c r="D1820" s="163"/>
      <c r="E1820" s="163"/>
      <c r="F1820" s="163"/>
      <c r="G1820" s="163"/>
      <c r="H1820" s="163"/>
    </row>
    <row r="1821" spans="4:8" ht="11.25" customHeight="1">
      <c r="D1821" s="163"/>
      <c r="E1821" s="163"/>
      <c r="F1821" s="163"/>
      <c r="G1821" s="163"/>
      <c r="H1821" s="163"/>
    </row>
    <row r="1822" spans="4:8" ht="11.25" customHeight="1">
      <c r="D1822" s="163"/>
      <c r="E1822" s="163"/>
      <c r="F1822" s="163"/>
      <c r="G1822" s="163"/>
      <c r="H1822" s="163"/>
    </row>
    <row r="1823" spans="4:8" ht="11.25" customHeight="1">
      <c r="D1823" s="163"/>
      <c r="E1823" s="163"/>
      <c r="F1823" s="163"/>
      <c r="G1823" s="163"/>
      <c r="H1823" s="163"/>
    </row>
    <row r="1824" spans="4:8" ht="11.25" customHeight="1">
      <c r="D1824" s="163"/>
      <c r="E1824" s="163"/>
      <c r="F1824" s="163"/>
      <c r="G1824" s="163"/>
      <c r="H1824" s="163"/>
    </row>
    <row r="1825" spans="4:8" ht="11.25" customHeight="1">
      <c r="D1825" s="163"/>
      <c r="E1825" s="163"/>
      <c r="F1825" s="163"/>
      <c r="G1825" s="163"/>
      <c r="H1825" s="163"/>
    </row>
    <row r="1826" spans="4:8" ht="11.25" customHeight="1">
      <c r="D1826" s="163"/>
      <c r="E1826" s="163"/>
      <c r="F1826" s="163"/>
      <c r="G1826" s="163"/>
      <c r="H1826" s="163"/>
    </row>
    <row r="1827" spans="4:8" ht="11.25" customHeight="1">
      <c r="D1827" s="163"/>
      <c r="E1827" s="163"/>
      <c r="F1827" s="163"/>
      <c r="G1827" s="163"/>
      <c r="H1827" s="163"/>
    </row>
    <row r="1828" spans="4:8" ht="11.25" customHeight="1">
      <c r="D1828" s="163"/>
      <c r="E1828" s="163"/>
      <c r="F1828" s="163"/>
      <c r="G1828" s="163"/>
      <c r="H1828" s="163"/>
    </row>
    <row r="1829" spans="4:8" ht="11.25" customHeight="1">
      <c r="D1829" s="163"/>
      <c r="E1829" s="163"/>
      <c r="F1829" s="163"/>
      <c r="G1829" s="163"/>
      <c r="H1829" s="163"/>
    </row>
    <row r="1830" spans="4:8" ht="11.25" customHeight="1">
      <c r="D1830" s="163"/>
      <c r="E1830" s="163"/>
      <c r="F1830" s="163"/>
      <c r="G1830" s="163"/>
      <c r="H1830" s="163"/>
    </row>
    <row r="1831" spans="4:8" ht="11.25" customHeight="1">
      <c r="D1831" s="163"/>
      <c r="E1831" s="163"/>
      <c r="F1831" s="163"/>
      <c r="G1831" s="163"/>
      <c r="H1831" s="163"/>
    </row>
    <row r="1832" spans="4:8" ht="11.25" customHeight="1">
      <c r="D1832" s="163"/>
      <c r="E1832" s="163"/>
      <c r="F1832" s="163"/>
      <c r="G1832" s="163"/>
      <c r="H1832" s="163"/>
    </row>
    <row r="1833" spans="4:8" ht="11.25" customHeight="1">
      <c r="D1833" s="163"/>
      <c r="E1833" s="163"/>
      <c r="F1833" s="163"/>
      <c r="G1833" s="163"/>
      <c r="H1833" s="163"/>
    </row>
    <row r="1834" spans="4:8" ht="11.25" customHeight="1">
      <c r="D1834" s="163"/>
      <c r="E1834" s="163"/>
      <c r="F1834" s="163"/>
      <c r="G1834" s="163"/>
      <c r="H1834" s="163"/>
    </row>
    <row r="1835" spans="4:8" ht="11.25" customHeight="1">
      <c r="D1835" s="163"/>
      <c r="E1835" s="163"/>
      <c r="F1835" s="163"/>
      <c r="G1835" s="163"/>
      <c r="H1835" s="163"/>
    </row>
    <row r="1836" spans="4:8" ht="11.25" customHeight="1">
      <c r="D1836" s="163"/>
      <c r="E1836" s="163"/>
      <c r="F1836" s="163"/>
      <c r="G1836" s="163"/>
      <c r="H1836" s="163"/>
    </row>
    <row r="1837" spans="4:8" ht="11.25" customHeight="1">
      <c r="D1837" s="163"/>
      <c r="E1837" s="163"/>
      <c r="F1837" s="163"/>
      <c r="G1837" s="163"/>
      <c r="H1837" s="163"/>
    </row>
    <row r="1838" spans="4:8" ht="11.25" customHeight="1">
      <c r="D1838" s="163"/>
      <c r="E1838" s="163"/>
      <c r="F1838" s="163"/>
      <c r="G1838" s="163"/>
      <c r="H1838" s="163"/>
    </row>
    <row r="1839" spans="4:8" ht="11.25" customHeight="1">
      <c r="D1839" s="163"/>
      <c r="E1839" s="163"/>
      <c r="F1839" s="163"/>
      <c r="G1839" s="163"/>
      <c r="H1839" s="163"/>
    </row>
    <row r="1840" spans="4:8" ht="11.25" customHeight="1">
      <c r="D1840" s="163"/>
      <c r="E1840" s="163"/>
      <c r="F1840" s="163"/>
      <c r="G1840" s="163"/>
      <c r="H1840" s="163"/>
    </row>
    <row r="1841" spans="4:8" ht="11.25" customHeight="1">
      <c r="D1841" s="163"/>
      <c r="E1841" s="163"/>
      <c r="F1841" s="163"/>
      <c r="G1841" s="163"/>
      <c r="H1841" s="163"/>
    </row>
    <row r="1842" spans="4:8" ht="11.25" customHeight="1">
      <c r="D1842" s="163"/>
      <c r="E1842" s="163"/>
      <c r="F1842" s="163"/>
      <c r="G1842" s="163"/>
      <c r="H1842" s="163"/>
    </row>
    <row r="1843" spans="4:8" ht="11.25" customHeight="1">
      <c r="D1843" s="163"/>
      <c r="E1843" s="163"/>
      <c r="F1843" s="163"/>
      <c r="G1843" s="163"/>
      <c r="H1843" s="163"/>
    </row>
    <row r="1844" spans="4:8" ht="11.25" customHeight="1">
      <c r="D1844" s="163"/>
      <c r="E1844" s="163"/>
      <c r="F1844" s="163"/>
      <c r="G1844" s="163"/>
      <c r="H1844" s="163"/>
    </row>
    <row r="1845" spans="4:8" ht="11.25" customHeight="1">
      <c r="D1845" s="163"/>
      <c r="E1845" s="163"/>
      <c r="F1845" s="163"/>
      <c r="G1845" s="163"/>
      <c r="H1845" s="163"/>
    </row>
    <row r="1846" spans="4:8" ht="11.25" customHeight="1">
      <c r="D1846" s="163"/>
      <c r="E1846" s="163"/>
      <c r="F1846" s="163"/>
      <c r="G1846" s="163"/>
      <c r="H1846" s="163"/>
    </row>
    <row r="1847" spans="4:8" ht="11.25" customHeight="1">
      <c r="D1847" s="163"/>
      <c r="E1847" s="163"/>
      <c r="F1847" s="163"/>
      <c r="G1847" s="163"/>
      <c r="H1847" s="163"/>
    </row>
    <row r="1848" spans="4:8" ht="11.25" customHeight="1">
      <c r="D1848" s="163"/>
      <c r="E1848" s="163"/>
      <c r="F1848" s="163"/>
      <c r="G1848" s="163"/>
      <c r="H1848" s="163"/>
    </row>
    <row r="1849" spans="4:8" ht="11.25" customHeight="1">
      <c r="D1849" s="163"/>
      <c r="E1849" s="163"/>
      <c r="F1849" s="163"/>
      <c r="G1849" s="163"/>
      <c r="H1849" s="163"/>
    </row>
    <row r="1850" spans="4:8" ht="11.25" customHeight="1">
      <c r="D1850" s="163"/>
      <c r="E1850" s="163"/>
      <c r="F1850" s="163"/>
      <c r="G1850" s="163"/>
      <c r="H1850" s="163"/>
    </row>
    <row r="1851" spans="4:8" ht="11.25" customHeight="1">
      <c r="D1851" s="163"/>
      <c r="E1851" s="163"/>
      <c r="F1851" s="163"/>
      <c r="G1851" s="163"/>
      <c r="H1851" s="163"/>
    </row>
    <row r="1852" spans="4:8" ht="11.25" customHeight="1">
      <c r="D1852" s="163"/>
      <c r="E1852" s="163"/>
      <c r="F1852" s="163"/>
      <c r="G1852" s="163"/>
      <c r="H1852" s="163"/>
    </row>
    <row r="1853" spans="4:8" ht="11.25" customHeight="1">
      <c r="D1853" s="163"/>
      <c r="E1853" s="163"/>
      <c r="F1853" s="163"/>
      <c r="G1853" s="163"/>
      <c r="H1853" s="163"/>
    </row>
    <row r="1854" spans="4:8" ht="11.25" customHeight="1">
      <c r="D1854" s="163"/>
      <c r="E1854" s="163"/>
      <c r="F1854" s="163"/>
      <c r="G1854" s="163"/>
      <c r="H1854" s="163"/>
    </row>
    <row r="1855" spans="4:8" ht="11.25" customHeight="1">
      <c r="D1855" s="163"/>
      <c r="E1855" s="163"/>
      <c r="F1855" s="163"/>
      <c r="G1855" s="163"/>
      <c r="H1855" s="163"/>
    </row>
    <row r="1856" spans="4:8" ht="11.25" customHeight="1">
      <c r="D1856" s="163"/>
      <c r="E1856" s="163"/>
      <c r="F1856" s="163"/>
      <c r="G1856" s="163"/>
      <c r="H1856" s="163"/>
    </row>
    <row r="1857" spans="4:8" ht="11.25" customHeight="1">
      <c r="D1857" s="163"/>
      <c r="E1857" s="163"/>
      <c r="F1857" s="163"/>
      <c r="G1857" s="163"/>
      <c r="H1857" s="163"/>
    </row>
    <row r="1858" spans="4:8" ht="11.25" customHeight="1">
      <c r="D1858" s="163"/>
      <c r="E1858" s="163"/>
      <c r="F1858" s="163"/>
      <c r="G1858" s="163"/>
      <c r="H1858" s="163"/>
    </row>
    <row r="1859" spans="4:8" ht="11.25" customHeight="1">
      <c r="D1859" s="163"/>
      <c r="E1859" s="163"/>
      <c r="F1859" s="163"/>
      <c r="G1859" s="163"/>
      <c r="H1859" s="163"/>
    </row>
    <row r="1860" spans="4:8" ht="11.25" customHeight="1">
      <c r="D1860" s="163"/>
      <c r="E1860" s="163"/>
      <c r="F1860" s="163"/>
      <c r="G1860" s="163"/>
      <c r="H1860" s="163"/>
    </row>
    <row r="1861" spans="4:8" ht="11.25" customHeight="1">
      <c r="D1861" s="163"/>
      <c r="E1861" s="163"/>
      <c r="F1861" s="163"/>
      <c r="G1861" s="163"/>
      <c r="H1861" s="163"/>
    </row>
    <row r="1862" spans="4:8" ht="11.25" customHeight="1">
      <c r="D1862" s="163"/>
      <c r="E1862" s="163"/>
      <c r="F1862" s="163"/>
      <c r="G1862" s="163"/>
      <c r="H1862" s="163"/>
    </row>
    <row r="1863" spans="4:8" ht="11.25" customHeight="1">
      <c r="D1863" s="163"/>
      <c r="E1863" s="163"/>
      <c r="F1863" s="163"/>
      <c r="G1863" s="163"/>
      <c r="H1863" s="163"/>
    </row>
    <row r="1864" spans="4:8" ht="11.25" customHeight="1">
      <c r="D1864" s="163"/>
      <c r="E1864" s="163"/>
      <c r="F1864" s="163"/>
      <c r="G1864" s="163"/>
      <c r="H1864" s="163"/>
    </row>
    <row r="1865" spans="4:8" ht="11.25" customHeight="1">
      <c r="D1865" s="163"/>
      <c r="E1865" s="163"/>
      <c r="F1865" s="163"/>
      <c r="G1865" s="163"/>
      <c r="H1865" s="163"/>
    </row>
    <row r="1866" spans="4:8" ht="11.25" customHeight="1">
      <c r="D1866" s="163"/>
      <c r="E1866" s="163"/>
      <c r="F1866" s="163"/>
      <c r="G1866" s="163"/>
      <c r="H1866" s="163"/>
    </row>
    <row r="1867" spans="4:8" ht="11.25" customHeight="1">
      <c r="D1867" s="163"/>
      <c r="E1867" s="163"/>
      <c r="F1867" s="163"/>
      <c r="G1867" s="163"/>
      <c r="H1867" s="163"/>
    </row>
    <row r="1868" spans="4:8" ht="11.25" customHeight="1">
      <c r="D1868" s="163"/>
      <c r="E1868" s="163"/>
      <c r="F1868" s="163"/>
      <c r="G1868" s="163"/>
      <c r="H1868" s="163"/>
    </row>
    <row r="1869" spans="4:8" ht="11.25" customHeight="1">
      <c r="D1869" s="163"/>
      <c r="E1869" s="163"/>
      <c r="F1869" s="163"/>
      <c r="G1869" s="163"/>
      <c r="H1869" s="163"/>
    </row>
    <row r="1870" spans="4:8" ht="11.25" customHeight="1">
      <c r="D1870" s="163"/>
      <c r="E1870" s="163"/>
      <c r="F1870" s="163"/>
      <c r="G1870" s="163"/>
      <c r="H1870" s="163"/>
    </row>
    <row r="1871" spans="4:8" ht="11.25" customHeight="1">
      <c r="D1871" s="163"/>
      <c r="E1871" s="163"/>
      <c r="F1871" s="163"/>
      <c r="G1871" s="163"/>
      <c r="H1871" s="163"/>
    </row>
    <row r="1872" spans="4:8" ht="11.25" customHeight="1">
      <c r="D1872" s="163"/>
      <c r="E1872" s="163"/>
      <c r="F1872" s="163"/>
      <c r="G1872" s="163"/>
      <c r="H1872" s="163"/>
    </row>
    <row r="1873" spans="4:8" ht="11.25" customHeight="1">
      <c r="D1873" s="163"/>
      <c r="E1873" s="163"/>
      <c r="F1873" s="163"/>
      <c r="G1873" s="163"/>
      <c r="H1873" s="163"/>
    </row>
    <row r="1874" spans="4:8" ht="11.25" customHeight="1">
      <c r="D1874" s="163"/>
      <c r="E1874" s="163"/>
      <c r="F1874" s="163"/>
      <c r="G1874" s="163"/>
      <c r="H1874" s="163"/>
    </row>
    <row r="1875" spans="4:8" ht="11.25" customHeight="1">
      <c r="D1875" s="163"/>
      <c r="E1875" s="163"/>
      <c r="F1875" s="163"/>
      <c r="G1875" s="163"/>
      <c r="H1875" s="163"/>
    </row>
    <row r="1876" spans="4:8" ht="11.25" customHeight="1">
      <c r="D1876" s="163"/>
      <c r="E1876" s="163"/>
      <c r="F1876" s="163"/>
      <c r="G1876" s="163"/>
      <c r="H1876" s="163"/>
    </row>
    <row r="1877" spans="4:8" ht="11.25" customHeight="1">
      <c r="D1877" s="163"/>
      <c r="E1877" s="163"/>
      <c r="F1877" s="163"/>
      <c r="G1877" s="163"/>
      <c r="H1877" s="163"/>
    </row>
    <row r="1878" spans="4:8" ht="11.25" customHeight="1">
      <c r="D1878" s="163"/>
      <c r="E1878" s="163"/>
      <c r="F1878" s="163"/>
      <c r="G1878" s="163"/>
      <c r="H1878" s="163"/>
    </row>
    <row r="1879" spans="4:8" ht="11.25" customHeight="1">
      <c r="D1879" s="163"/>
      <c r="E1879" s="163"/>
      <c r="F1879" s="163"/>
      <c r="G1879" s="163"/>
      <c r="H1879" s="163"/>
    </row>
    <row r="1880" spans="4:8" ht="11.25" customHeight="1">
      <c r="D1880" s="163"/>
      <c r="E1880" s="163"/>
      <c r="F1880" s="163"/>
      <c r="G1880" s="163"/>
      <c r="H1880" s="163"/>
    </row>
    <row r="1881" spans="4:8" ht="11.25" customHeight="1">
      <c r="D1881" s="163"/>
      <c r="E1881" s="163"/>
      <c r="F1881" s="163"/>
      <c r="G1881" s="163"/>
      <c r="H1881" s="163"/>
    </row>
    <row r="1882" spans="4:8" ht="11.25" customHeight="1">
      <c r="D1882" s="163"/>
      <c r="E1882" s="163"/>
      <c r="F1882" s="163"/>
      <c r="G1882" s="163"/>
      <c r="H1882" s="163"/>
    </row>
    <row r="1883" spans="4:8" ht="11.25" customHeight="1">
      <c r="D1883" s="163"/>
      <c r="E1883" s="163"/>
      <c r="F1883" s="163"/>
      <c r="G1883" s="163"/>
      <c r="H1883" s="163"/>
    </row>
    <row r="1884" spans="4:8" ht="11.25" customHeight="1">
      <c r="D1884" s="163"/>
      <c r="E1884" s="163"/>
      <c r="F1884" s="163"/>
      <c r="G1884" s="163"/>
      <c r="H1884" s="163"/>
    </row>
    <row r="1885" spans="4:8" ht="11.25" customHeight="1">
      <c r="D1885" s="163"/>
      <c r="E1885" s="163"/>
      <c r="F1885" s="163"/>
      <c r="G1885" s="163"/>
      <c r="H1885" s="163"/>
    </row>
    <row r="1886" spans="4:8" ht="11.25" customHeight="1">
      <c r="D1886" s="163"/>
      <c r="E1886" s="163"/>
      <c r="F1886" s="163"/>
      <c r="G1886" s="163"/>
      <c r="H1886" s="163"/>
    </row>
    <row r="1887" spans="4:8" ht="11.25" customHeight="1">
      <c r="D1887" s="163"/>
      <c r="E1887" s="163"/>
      <c r="F1887" s="163"/>
      <c r="G1887" s="163"/>
      <c r="H1887" s="163"/>
    </row>
    <row r="1888" spans="4:8" ht="11.25" customHeight="1">
      <c r="D1888" s="163"/>
      <c r="E1888" s="163"/>
      <c r="F1888" s="163"/>
      <c r="G1888" s="163"/>
      <c r="H1888" s="163"/>
    </row>
    <row r="1889" spans="4:8" ht="11.25" customHeight="1">
      <c r="D1889" s="163"/>
      <c r="E1889" s="163"/>
      <c r="F1889" s="163"/>
      <c r="G1889" s="163"/>
      <c r="H1889" s="163"/>
    </row>
    <row r="1890" spans="4:8" ht="11.25" customHeight="1">
      <c r="D1890" s="163"/>
      <c r="E1890" s="163"/>
      <c r="F1890" s="163"/>
      <c r="G1890" s="163"/>
      <c r="H1890" s="163"/>
    </row>
    <row r="1891" spans="4:8" ht="11.25" customHeight="1">
      <c r="D1891" s="163"/>
      <c r="E1891" s="163"/>
      <c r="F1891" s="163"/>
      <c r="G1891" s="163"/>
      <c r="H1891" s="163"/>
    </row>
    <row r="1892" spans="4:8" ht="11.25" customHeight="1">
      <c r="D1892" s="163"/>
      <c r="E1892" s="163"/>
      <c r="F1892" s="163"/>
      <c r="G1892" s="163"/>
      <c r="H1892" s="163"/>
    </row>
    <row r="1893" spans="4:8" ht="11.25" customHeight="1">
      <c r="D1893" s="163"/>
      <c r="E1893" s="163"/>
      <c r="F1893" s="163"/>
      <c r="G1893" s="163"/>
      <c r="H1893" s="163"/>
    </row>
    <row r="1894" spans="4:8" ht="11.25" customHeight="1">
      <c r="D1894" s="163"/>
      <c r="E1894" s="163"/>
      <c r="F1894" s="163"/>
      <c r="G1894" s="163"/>
      <c r="H1894" s="163"/>
    </row>
    <row r="1895" spans="4:8" ht="11.25" customHeight="1">
      <c r="D1895" s="163"/>
      <c r="E1895" s="163"/>
      <c r="F1895" s="163"/>
      <c r="G1895" s="163"/>
      <c r="H1895" s="163"/>
    </row>
    <row r="1896" spans="4:8" ht="11.25" customHeight="1">
      <c r="D1896" s="163"/>
      <c r="E1896" s="163"/>
      <c r="F1896" s="163"/>
      <c r="G1896" s="163"/>
      <c r="H1896" s="163"/>
    </row>
    <row r="1897" spans="4:8" ht="11.25" customHeight="1">
      <c r="D1897" s="163"/>
      <c r="E1897" s="163"/>
      <c r="F1897" s="163"/>
      <c r="G1897" s="163"/>
      <c r="H1897" s="163"/>
    </row>
    <row r="1898" spans="4:8" ht="11.25" customHeight="1">
      <c r="D1898" s="163"/>
      <c r="E1898" s="163"/>
      <c r="F1898" s="163"/>
      <c r="G1898" s="163"/>
      <c r="H1898" s="163"/>
    </row>
    <row r="1899" spans="4:8" ht="11.25" customHeight="1">
      <c r="D1899" s="163"/>
      <c r="E1899" s="163"/>
      <c r="F1899" s="163"/>
      <c r="G1899" s="163"/>
      <c r="H1899" s="163"/>
    </row>
    <row r="1900" spans="4:8" ht="11.25" customHeight="1">
      <c r="D1900" s="163"/>
      <c r="E1900" s="163"/>
      <c r="F1900" s="163"/>
      <c r="G1900" s="163"/>
      <c r="H1900" s="163"/>
    </row>
    <row r="1901" spans="4:8" ht="11.25" customHeight="1">
      <c r="D1901" s="163"/>
      <c r="E1901" s="163"/>
      <c r="F1901" s="163"/>
      <c r="G1901" s="163"/>
      <c r="H1901" s="163"/>
    </row>
    <row r="1902" spans="4:8" ht="11.25" customHeight="1">
      <c r="D1902" s="163"/>
      <c r="E1902" s="163"/>
      <c r="F1902" s="163"/>
      <c r="G1902" s="163"/>
      <c r="H1902" s="163"/>
    </row>
    <row r="1903" spans="4:8" ht="11.25" customHeight="1">
      <c r="D1903" s="163"/>
      <c r="E1903" s="163"/>
      <c r="F1903" s="163"/>
      <c r="G1903" s="163"/>
      <c r="H1903" s="163"/>
    </row>
    <row r="1904" spans="4:8" ht="11.25" customHeight="1">
      <c r="D1904" s="163"/>
      <c r="E1904" s="163"/>
      <c r="F1904" s="163"/>
      <c r="G1904" s="163"/>
      <c r="H1904" s="163"/>
    </row>
    <row r="1905" spans="4:8" ht="11.25" customHeight="1">
      <c r="D1905" s="163"/>
      <c r="E1905" s="163"/>
      <c r="F1905" s="163"/>
      <c r="G1905" s="163"/>
      <c r="H1905" s="163"/>
    </row>
    <row r="1906" spans="4:8" ht="11.25" customHeight="1">
      <c r="D1906" s="163"/>
      <c r="E1906" s="163"/>
      <c r="F1906" s="163"/>
      <c r="G1906" s="163"/>
      <c r="H1906" s="163"/>
    </row>
    <row r="1907" spans="4:8" ht="11.25" customHeight="1">
      <c r="D1907" s="163"/>
      <c r="E1907" s="163"/>
      <c r="F1907" s="163"/>
      <c r="G1907" s="163"/>
      <c r="H1907" s="163"/>
    </row>
    <row r="1908" spans="4:8" ht="11.25" customHeight="1">
      <c r="D1908" s="163"/>
      <c r="E1908" s="163"/>
      <c r="F1908" s="163"/>
      <c r="G1908" s="163"/>
      <c r="H1908" s="163"/>
    </row>
    <row r="1909" spans="4:8" ht="11.25" customHeight="1">
      <c r="D1909" s="163"/>
      <c r="E1909" s="163"/>
      <c r="F1909" s="163"/>
      <c r="G1909" s="163"/>
      <c r="H1909" s="163"/>
    </row>
    <row r="1910" spans="4:8" ht="11.25" customHeight="1">
      <c r="D1910" s="163"/>
      <c r="E1910" s="163"/>
      <c r="F1910" s="163"/>
      <c r="G1910" s="163"/>
      <c r="H1910" s="163"/>
    </row>
    <row r="1911" spans="4:8" ht="11.25" customHeight="1">
      <c r="D1911" s="163"/>
      <c r="E1911" s="163"/>
      <c r="F1911" s="163"/>
      <c r="G1911" s="163"/>
      <c r="H1911" s="163"/>
    </row>
    <row r="1912" spans="4:8" ht="11.25" customHeight="1">
      <c r="D1912" s="163"/>
      <c r="E1912" s="163"/>
      <c r="F1912" s="163"/>
      <c r="G1912" s="163"/>
      <c r="H1912" s="163"/>
    </row>
    <row r="1913" spans="4:8" ht="11.25" customHeight="1">
      <c r="D1913" s="163"/>
      <c r="E1913" s="163"/>
      <c r="F1913" s="163"/>
      <c r="G1913" s="163"/>
      <c r="H1913" s="163"/>
    </row>
    <row r="1914" spans="4:8" ht="11.25" customHeight="1">
      <c r="D1914" s="163"/>
      <c r="E1914" s="163"/>
      <c r="F1914" s="163"/>
      <c r="G1914" s="163"/>
      <c r="H1914" s="163"/>
    </row>
    <row r="1915" spans="4:8" ht="11.25" customHeight="1">
      <c r="D1915" s="163"/>
      <c r="E1915" s="163"/>
      <c r="F1915" s="163"/>
      <c r="G1915" s="163"/>
      <c r="H1915" s="163"/>
    </row>
    <row r="1916" spans="4:8" ht="11.25" customHeight="1">
      <c r="D1916" s="163"/>
      <c r="E1916" s="163"/>
      <c r="F1916" s="163"/>
      <c r="G1916" s="163"/>
      <c r="H1916" s="163"/>
    </row>
    <row r="1917" spans="4:8" ht="11.25" customHeight="1">
      <c r="D1917" s="163"/>
      <c r="E1917" s="163"/>
      <c r="F1917" s="163"/>
      <c r="G1917" s="163"/>
      <c r="H1917" s="163"/>
    </row>
    <row r="1918" spans="4:8" ht="11.25" customHeight="1">
      <c r="D1918" s="163"/>
      <c r="E1918" s="163"/>
      <c r="F1918" s="163"/>
      <c r="G1918" s="163"/>
      <c r="H1918" s="163"/>
    </row>
    <row r="1919" spans="4:8" ht="11.25" customHeight="1">
      <c r="D1919" s="163"/>
      <c r="E1919" s="163"/>
      <c r="F1919" s="163"/>
      <c r="G1919" s="163"/>
      <c r="H1919" s="163"/>
    </row>
    <row r="1920" spans="4:8" ht="11.25" customHeight="1">
      <c r="D1920" s="163"/>
      <c r="E1920" s="163"/>
      <c r="F1920" s="163"/>
      <c r="G1920" s="163"/>
      <c r="H1920" s="163"/>
    </row>
    <row r="1921" spans="4:8" ht="11.25" customHeight="1">
      <c r="D1921" s="163"/>
      <c r="E1921" s="163"/>
      <c r="F1921" s="163"/>
      <c r="G1921" s="163"/>
      <c r="H1921" s="163"/>
    </row>
    <row r="1922" spans="4:8" ht="11.25" customHeight="1">
      <c r="D1922" s="163"/>
      <c r="E1922" s="163"/>
      <c r="F1922" s="163"/>
      <c r="G1922" s="163"/>
      <c r="H1922" s="163"/>
    </row>
    <row r="1923" spans="4:8" ht="11.25" customHeight="1">
      <c r="D1923" s="163"/>
      <c r="E1923" s="163"/>
      <c r="F1923" s="163"/>
      <c r="G1923" s="163"/>
      <c r="H1923" s="163"/>
    </row>
    <row r="1924" spans="4:8" ht="11.25" customHeight="1">
      <c r="D1924" s="163"/>
      <c r="E1924" s="163"/>
      <c r="F1924" s="163"/>
      <c r="G1924" s="163"/>
      <c r="H1924" s="163"/>
    </row>
    <row r="1925" spans="4:8" ht="11.25" customHeight="1">
      <c r="D1925" s="163"/>
      <c r="E1925" s="163"/>
      <c r="F1925" s="163"/>
      <c r="G1925" s="163"/>
      <c r="H1925" s="163"/>
    </row>
    <row r="1926" spans="4:8" ht="11.25" customHeight="1">
      <c r="D1926" s="163"/>
      <c r="E1926" s="163"/>
      <c r="F1926" s="163"/>
      <c r="G1926" s="163"/>
      <c r="H1926" s="163"/>
    </row>
    <row r="1927" spans="4:8" ht="11.25" customHeight="1">
      <c r="D1927" s="163"/>
      <c r="E1927" s="163"/>
      <c r="F1927" s="163"/>
      <c r="G1927" s="163"/>
      <c r="H1927" s="163"/>
    </row>
    <row r="1928" spans="4:8" ht="11.25" customHeight="1">
      <c r="D1928" s="163"/>
      <c r="E1928" s="163"/>
      <c r="F1928" s="163"/>
      <c r="G1928" s="163"/>
      <c r="H1928" s="163"/>
    </row>
    <row r="1929" spans="4:8" ht="11.25" customHeight="1">
      <c r="D1929" s="163"/>
      <c r="E1929" s="163"/>
      <c r="F1929" s="163"/>
      <c r="G1929" s="163"/>
      <c r="H1929" s="163"/>
    </row>
    <row r="1930" spans="4:8" ht="11.25" customHeight="1">
      <c r="D1930" s="163"/>
      <c r="E1930" s="163"/>
      <c r="F1930" s="163"/>
      <c r="G1930" s="163"/>
      <c r="H1930" s="163"/>
    </row>
    <row r="1931" spans="4:8" ht="11.25" customHeight="1">
      <c r="D1931" s="163"/>
      <c r="E1931" s="163"/>
      <c r="F1931" s="163"/>
      <c r="G1931" s="163"/>
      <c r="H1931" s="163"/>
    </row>
    <row r="1932" spans="4:8" ht="11.25" customHeight="1">
      <c r="D1932" s="163"/>
      <c r="E1932" s="163"/>
      <c r="F1932" s="163"/>
      <c r="G1932" s="163"/>
      <c r="H1932" s="163"/>
    </row>
    <row r="1933" spans="4:8" ht="11.25" customHeight="1">
      <c r="D1933" s="163"/>
      <c r="E1933" s="163"/>
      <c r="F1933" s="163"/>
      <c r="G1933" s="163"/>
      <c r="H1933" s="163"/>
    </row>
    <row r="1934" spans="4:8" ht="11.25" customHeight="1">
      <c r="D1934" s="163"/>
      <c r="E1934" s="163"/>
      <c r="F1934" s="163"/>
      <c r="G1934" s="163"/>
      <c r="H1934" s="163"/>
    </row>
    <row r="1935" spans="4:8" ht="11.25" customHeight="1">
      <c r="D1935" s="163"/>
      <c r="E1935" s="163"/>
      <c r="F1935" s="163"/>
      <c r="G1935" s="163"/>
      <c r="H1935" s="163"/>
    </row>
    <row r="1936" spans="4:8" ht="11.25" customHeight="1">
      <c r="D1936" s="163"/>
      <c r="E1936" s="163"/>
      <c r="F1936" s="163"/>
      <c r="G1936" s="163"/>
      <c r="H1936" s="163"/>
    </row>
    <row r="1937" spans="4:8" ht="11.25" customHeight="1">
      <c r="D1937" s="163"/>
      <c r="E1937" s="163"/>
      <c r="F1937" s="163"/>
      <c r="G1937" s="163"/>
      <c r="H1937" s="163"/>
    </row>
    <row r="1938" spans="4:8" ht="11.25" customHeight="1">
      <c r="D1938" s="163"/>
      <c r="E1938" s="163"/>
      <c r="F1938" s="163"/>
      <c r="G1938" s="163"/>
      <c r="H1938" s="163"/>
    </row>
    <row r="1939" spans="4:8" ht="11.25" customHeight="1">
      <c r="D1939" s="163"/>
      <c r="E1939" s="163"/>
      <c r="F1939" s="163"/>
      <c r="G1939" s="163"/>
      <c r="H1939" s="163"/>
    </row>
    <row r="1940" spans="4:8" ht="11.25" customHeight="1">
      <c r="D1940" s="163"/>
      <c r="E1940" s="163"/>
      <c r="F1940" s="163"/>
      <c r="G1940" s="163"/>
      <c r="H1940" s="163"/>
    </row>
    <row r="1941" spans="4:8" ht="11.25" customHeight="1">
      <c r="D1941" s="163"/>
      <c r="E1941" s="163"/>
      <c r="F1941" s="163"/>
      <c r="G1941" s="163"/>
      <c r="H1941" s="163"/>
    </row>
    <row r="1942" spans="4:8" ht="11.25" customHeight="1">
      <c r="D1942" s="163"/>
      <c r="E1942" s="163"/>
      <c r="F1942" s="163"/>
      <c r="G1942" s="163"/>
      <c r="H1942" s="163"/>
    </row>
    <row r="1943" spans="4:8" ht="11.25" customHeight="1">
      <c r="D1943" s="163"/>
      <c r="E1943" s="163"/>
      <c r="F1943" s="163"/>
      <c r="G1943" s="163"/>
      <c r="H1943" s="163"/>
    </row>
    <row r="1944" spans="4:8" ht="11.25" customHeight="1">
      <c r="D1944" s="163"/>
      <c r="E1944" s="163"/>
      <c r="F1944" s="163"/>
      <c r="G1944" s="163"/>
      <c r="H1944" s="163"/>
    </row>
    <row r="1945" spans="4:8" ht="11.25" customHeight="1">
      <c r="D1945" s="163"/>
      <c r="E1945" s="163"/>
      <c r="F1945" s="163"/>
      <c r="G1945" s="163"/>
      <c r="H1945" s="163"/>
    </row>
    <row r="1946" spans="4:8" ht="11.25" customHeight="1">
      <c r="D1946" s="163"/>
      <c r="E1946" s="163"/>
      <c r="F1946" s="163"/>
      <c r="G1946" s="163"/>
      <c r="H1946" s="163"/>
    </row>
    <row r="1947" spans="4:8" ht="11.25" customHeight="1">
      <c r="D1947" s="163"/>
      <c r="E1947" s="163"/>
      <c r="F1947" s="163"/>
      <c r="G1947" s="163"/>
      <c r="H1947" s="163"/>
    </row>
    <row r="1948" spans="4:8" ht="11.25" customHeight="1">
      <c r="D1948" s="163"/>
      <c r="E1948" s="163"/>
      <c r="F1948" s="163"/>
      <c r="G1948" s="163"/>
      <c r="H1948" s="163"/>
    </row>
    <row r="1949" spans="4:8" ht="11.25" customHeight="1">
      <c r="D1949" s="163"/>
      <c r="E1949" s="163"/>
      <c r="F1949" s="163"/>
      <c r="G1949" s="163"/>
      <c r="H1949" s="163"/>
    </row>
    <row r="1950" spans="4:8" ht="11.25" customHeight="1">
      <c r="D1950" s="163"/>
      <c r="E1950" s="163"/>
      <c r="F1950" s="163"/>
      <c r="G1950" s="163"/>
      <c r="H1950" s="163"/>
    </row>
    <row r="1951" spans="4:8" ht="11.25" customHeight="1">
      <c r="D1951" s="163"/>
      <c r="E1951" s="163"/>
      <c r="F1951" s="163"/>
      <c r="G1951" s="163"/>
      <c r="H1951" s="163"/>
    </row>
    <row r="1952" spans="4:8" ht="11.25" customHeight="1">
      <c r="D1952" s="163"/>
      <c r="E1952" s="163"/>
      <c r="F1952" s="163"/>
      <c r="G1952" s="163"/>
      <c r="H1952" s="163"/>
    </row>
    <row r="1953" spans="4:8" ht="11.25" customHeight="1">
      <c r="D1953" s="163"/>
      <c r="E1953" s="163"/>
      <c r="F1953" s="163"/>
      <c r="G1953" s="163"/>
      <c r="H1953" s="163"/>
    </row>
    <row r="1954" spans="4:8" ht="11.25" customHeight="1">
      <c r="D1954" s="163"/>
      <c r="E1954" s="163"/>
      <c r="F1954" s="163"/>
      <c r="G1954" s="163"/>
      <c r="H1954" s="163"/>
    </row>
    <row r="1955" spans="4:8" ht="11.25" customHeight="1">
      <c r="D1955" s="163"/>
      <c r="E1955" s="163"/>
      <c r="F1955" s="163"/>
      <c r="G1955" s="163"/>
      <c r="H1955" s="163"/>
    </row>
    <row r="1956" spans="4:8" ht="11.25" customHeight="1">
      <c r="D1956" s="163"/>
      <c r="E1956" s="163"/>
      <c r="F1956" s="163"/>
      <c r="G1956" s="163"/>
      <c r="H1956" s="163"/>
    </row>
    <row r="1957" spans="4:8" ht="11.25" customHeight="1">
      <c r="D1957" s="163"/>
      <c r="E1957" s="163"/>
      <c r="F1957" s="163"/>
      <c r="G1957" s="163"/>
      <c r="H1957" s="163"/>
    </row>
    <row r="1958" spans="4:8" ht="11.25" customHeight="1">
      <c r="D1958" s="163"/>
      <c r="E1958" s="163"/>
      <c r="F1958" s="163"/>
      <c r="G1958" s="163"/>
      <c r="H1958" s="163"/>
    </row>
    <row r="1959" spans="4:8" ht="11.25" customHeight="1">
      <c r="D1959" s="163"/>
      <c r="E1959" s="163"/>
      <c r="F1959" s="163"/>
      <c r="G1959" s="163"/>
      <c r="H1959" s="163"/>
    </row>
    <row r="1960" spans="4:8" ht="11.25" customHeight="1">
      <c r="D1960" s="163"/>
      <c r="E1960" s="163"/>
      <c r="F1960" s="163"/>
      <c r="G1960" s="163"/>
      <c r="H1960" s="163"/>
    </row>
    <row r="1961" spans="4:8" ht="11.25" customHeight="1">
      <c r="D1961" s="163"/>
      <c r="E1961" s="163"/>
      <c r="F1961" s="163"/>
      <c r="G1961" s="163"/>
      <c r="H1961" s="163"/>
    </row>
    <row r="1962" spans="4:8" ht="11.25" customHeight="1">
      <c r="D1962" s="163"/>
      <c r="E1962" s="163"/>
      <c r="F1962" s="163"/>
      <c r="G1962" s="163"/>
      <c r="H1962" s="163"/>
    </row>
    <row r="1963" spans="4:8" ht="11.25" customHeight="1">
      <c r="D1963" s="163"/>
      <c r="E1963" s="163"/>
      <c r="F1963" s="163"/>
      <c r="G1963" s="163"/>
      <c r="H1963" s="163"/>
    </row>
    <row r="1964" spans="4:8" ht="11.25" customHeight="1">
      <c r="D1964" s="163"/>
      <c r="E1964" s="163"/>
      <c r="F1964" s="163"/>
      <c r="G1964" s="163"/>
      <c r="H1964" s="163"/>
    </row>
    <row r="1965" spans="4:8" ht="11.25" customHeight="1">
      <c r="D1965" s="163"/>
      <c r="E1965" s="163"/>
      <c r="F1965" s="163"/>
      <c r="G1965" s="163"/>
      <c r="H1965" s="163"/>
    </row>
    <row r="1966" spans="4:8" ht="11.25" customHeight="1">
      <c r="D1966" s="163"/>
      <c r="E1966" s="163"/>
      <c r="F1966" s="163"/>
      <c r="G1966" s="163"/>
      <c r="H1966" s="163"/>
    </row>
    <row r="1967" spans="4:8" ht="11.25" customHeight="1">
      <c r="D1967" s="163"/>
      <c r="E1967" s="163"/>
      <c r="F1967" s="163"/>
      <c r="G1967" s="163"/>
      <c r="H1967" s="163"/>
    </row>
    <row r="1968" spans="4:8" ht="11.25" customHeight="1">
      <c r="D1968" s="163"/>
      <c r="E1968" s="163"/>
      <c r="F1968" s="163"/>
      <c r="G1968" s="163"/>
      <c r="H1968" s="163"/>
    </row>
    <row r="1969" spans="4:8" ht="11.25" customHeight="1">
      <c r="D1969" s="163"/>
      <c r="E1969" s="163"/>
      <c r="F1969" s="163"/>
      <c r="G1969" s="163"/>
      <c r="H1969" s="163"/>
    </row>
    <row r="1970" spans="4:8" ht="11.25" customHeight="1">
      <c r="D1970" s="163"/>
      <c r="E1970" s="163"/>
      <c r="F1970" s="163"/>
      <c r="G1970" s="163"/>
      <c r="H1970" s="163"/>
    </row>
    <row r="1971" spans="4:8" ht="11.25" customHeight="1">
      <c r="D1971" s="163"/>
      <c r="E1971" s="163"/>
      <c r="F1971" s="163"/>
      <c r="G1971" s="163"/>
      <c r="H1971" s="163"/>
    </row>
    <row r="1972" spans="4:8" ht="11.25" customHeight="1">
      <c r="D1972" s="163"/>
      <c r="E1972" s="163"/>
      <c r="F1972" s="163"/>
      <c r="G1972" s="163"/>
      <c r="H1972" s="163"/>
    </row>
    <row r="1973" spans="4:8" ht="11.25" customHeight="1">
      <c r="D1973" s="163"/>
      <c r="E1973" s="163"/>
      <c r="F1973" s="163"/>
      <c r="G1973" s="163"/>
      <c r="H1973" s="163"/>
    </row>
    <row r="1974" spans="4:8" ht="11.25" customHeight="1">
      <c r="D1974" s="163"/>
      <c r="E1974" s="163"/>
      <c r="F1974" s="163"/>
      <c r="G1974" s="163"/>
      <c r="H1974" s="163"/>
    </row>
    <row r="1975" spans="4:8" ht="11.25" customHeight="1">
      <c r="D1975" s="163"/>
      <c r="E1975" s="163"/>
      <c r="F1975" s="163"/>
      <c r="G1975" s="163"/>
      <c r="H1975" s="163"/>
    </row>
    <row r="1976" spans="4:8" ht="11.25" customHeight="1">
      <c r="D1976" s="163"/>
      <c r="E1976" s="163"/>
      <c r="F1976" s="163"/>
      <c r="G1976" s="163"/>
      <c r="H1976" s="163"/>
    </row>
    <row r="1977" spans="4:8" ht="11.25" customHeight="1">
      <c r="D1977" s="163"/>
      <c r="E1977" s="163"/>
      <c r="F1977" s="163"/>
      <c r="G1977" s="163"/>
      <c r="H1977" s="163"/>
    </row>
    <row r="1978" spans="4:8" ht="11.25" customHeight="1">
      <c r="D1978" s="163"/>
      <c r="E1978" s="163"/>
      <c r="F1978" s="163"/>
      <c r="G1978" s="163"/>
      <c r="H1978" s="163"/>
    </row>
    <row r="1979" spans="4:8" ht="11.25" customHeight="1">
      <c r="D1979" s="163"/>
      <c r="E1979" s="163"/>
      <c r="F1979" s="163"/>
      <c r="G1979" s="163"/>
      <c r="H1979" s="163"/>
    </row>
    <row r="1980" spans="4:8" ht="11.25" customHeight="1">
      <c r="D1980" s="163"/>
      <c r="E1980" s="163"/>
      <c r="F1980" s="163"/>
      <c r="G1980" s="163"/>
      <c r="H1980" s="163"/>
    </row>
    <row r="1981" spans="4:8" ht="11.25" customHeight="1">
      <c r="D1981" s="163"/>
      <c r="E1981" s="163"/>
      <c r="F1981" s="163"/>
      <c r="G1981" s="163"/>
      <c r="H1981" s="163"/>
    </row>
    <row r="1982" spans="4:8" ht="11.25" customHeight="1">
      <c r="D1982" s="163"/>
      <c r="E1982" s="163"/>
      <c r="F1982" s="163"/>
      <c r="G1982" s="163"/>
      <c r="H1982" s="163"/>
    </row>
    <row r="1983" spans="4:8" ht="11.25" customHeight="1">
      <c r="D1983" s="163"/>
      <c r="E1983" s="163"/>
      <c r="F1983" s="163"/>
      <c r="G1983" s="163"/>
      <c r="H1983" s="163"/>
    </row>
    <row r="1984" spans="4:8" ht="11.25" customHeight="1">
      <c r="D1984" s="163"/>
      <c r="E1984" s="163"/>
      <c r="F1984" s="163"/>
      <c r="G1984" s="163"/>
      <c r="H1984" s="163"/>
    </row>
    <row r="1985" spans="4:8" ht="11.25" customHeight="1">
      <c r="D1985" s="163"/>
      <c r="E1985" s="163"/>
      <c r="F1985" s="163"/>
      <c r="G1985" s="163"/>
      <c r="H1985" s="163"/>
    </row>
    <row r="1986" spans="4:8" ht="11.25" customHeight="1">
      <c r="D1986" s="163"/>
      <c r="E1986" s="163"/>
      <c r="F1986" s="163"/>
      <c r="G1986" s="163"/>
      <c r="H1986" s="163"/>
    </row>
    <row r="1987" spans="4:8" ht="11.25" customHeight="1">
      <c r="D1987" s="163"/>
      <c r="E1987" s="163"/>
      <c r="F1987" s="163"/>
      <c r="G1987" s="163"/>
      <c r="H1987" s="163"/>
    </row>
    <row r="1988" spans="4:8" ht="11.25" customHeight="1">
      <c r="D1988" s="163"/>
      <c r="E1988" s="163"/>
      <c r="F1988" s="163"/>
      <c r="G1988" s="163"/>
      <c r="H1988" s="163"/>
    </row>
    <row r="1989" spans="4:8" ht="11.25" customHeight="1">
      <c r="D1989" s="163"/>
      <c r="E1989" s="163"/>
      <c r="F1989" s="163"/>
      <c r="G1989" s="163"/>
      <c r="H1989" s="163"/>
    </row>
    <row r="1990" spans="4:8" ht="11.25" customHeight="1">
      <c r="D1990" s="163"/>
      <c r="E1990" s="163"/>
      <c r="F1990" s="163"/>
      <c r="G1990" s="163"/>
      <c r="H1990" s="163"/>
    </row>
    <row r="1991" spans="4:8" ht="11.25" customHeight="1">
      <c r="D1991" s="163"/>
      <c r="E1991" s="163"/>
      <c r="F1991" s="163"/>
      <c r="G1991" s="163"/>
      <c r="H1991" s="163"/>
    </row>
    <row r="1992" spans="4:8" ht="11.25" customHeight="1">
      <c r="D1992" s="163"/>
      <c r="E1992" s="163"/>
      <c r="F1992" s="163"/>
      <c r="G1992" s="163"/>
      <c r="H1992" s="163"/>
    </row>
    <row r="1993" spans="4:8" ht="11.25" customHeight="1">
      <c r="D1993" s="163"/>
      <c r="E1993" s="163"/>
      <c r="F1993" s="163"/>
      <c r="G1993" s="163"/>
      <c r="H1993" s="163"/>
    </row>
    <row r="1994" spans="4:8" ht="11.25" customHeight="1">
      <c r="D1994" s="163"/>
      <c r="E1994" s="163"/>
      <c r="F1994" s="163"/>
      <c r="G1994" s="163"/>
      <c r="H1994" s="163"/>
    </row>
    <row r="1995" spans="4:8" ht="11.25" customHeight="1">
      <c r="D1995" s="163"/>
      <c r="E1995" s="163"/>
      <c r="F1995" s="163"/>
      <c r="G1995" s="163"/>
      <c r="H1995" s="163"/>
    </row>
    <row r="1996" spans="4:8" ht="11.25" customHeight="1">
      <c r="D1996" s="163"/>
      <c r="E1996" s="163"/>
      <c r="F1996" s="163"/>
      <c r="G1996" s="163"/>
      <c r="H1996" s="163"/>
    </row>
    <row r="1997" spans="4:8" ht="11.25" customHeight="1">
      <c r="D1997" s="163"/>
      <c r="E1997" s="163"/>
      <c r="F1997" s="163"/>
      <c r="G1997" s="163"/>
      <c r="H1997" s="163"/>
    </row>
    <row r="1998" spans="4:8" ht="11.25" customHeight="1">
      <c r="D1998" s="163"/>
      <c r="E1998" s="163"/>
      <c r="F1998" s="163"/>
      <c r="G1998" s="163"/>
      <c r="H1998" s="163"/>
    </row>
    <row r="1999" spans="4:8" ht="11.25" customHeight="1">
      <c r="D1999" s="163"/>
      <c r="E1999" s="163"/>
      <c r="F1999" s="163"/>
      <c r="G1999" s="163"/>
      <c r="H1999" s="163"/>
    </row>
    <row r="2000" spans="4:8" ht="11.25" customHeight="1">
      <c r="D2000" s="163"/>
      <c r="E2000" s="163"/>
      <c r="F2000" s="163"/>
      <c r="G2000" s="163"/>
      <c r="H2000" s="163"/>
    </row>
    <row r="2001" spans="4:8" ht="11.25" customHeight="1">
      <c r="D2001" s="163"/>
      <c r="E2001" s="163"/>
      <c r="F2001" s="163"/>
      <c r="G2001" s="163"/>
      <c r="H2001" s="163"/>
    </row>
    <row r="2002" spans="4:8" ht="11.25" customHeight="1">
      <c r="D2002" s="163"/>
      <c r="E2002" s="163"/>
      <c r="F2002" s="163"/>
      <c r="G2002" s="163"/>
      <c r="H2002" s="163"/>
    </row>
    <row r="2003" spans="4:8" ht="11.25" customHeight="1">
      <c r="D2003" s="163"/>
      <c r="E2003" s="163"/>
      <c r="F2003" s="163"/>
      <c r="G2003" s="163"/>
      <c r="H2003" s="163"/>
    </row>
    <row r="2004" spans="4:8" ht="11.25" customHeight="1">
      <c r="D2004" s="163"/>
      <c r="E2004" s="163"/>
      <c r="F2004" s="163"/>
      <c r="G2004" s="163"/>
      <c r="H2004" s="163"/>
    </row>
    <row r="2005" spans="4:8" ht="11.25" customHeight="1">
      <c r="D2005" s="163"/>
      <c r="E2005" s="163"/>
      <c r="F2005" s="163"/>
      <c r="G2005" s="163"/>
      <c r="H2005" s="163"/>
    </row>
    <row r="2006" spans="4:8" ht="11.25" customHeight="1">
      <c r="D2006" s="163"/>
      <c r="E2006" s="163"/>
      <c r="F2006" s="163"/>
      <c r="G2006" s="163"/>
      <c r="H2006" s="163"/>
    </row>
    <row r="2007" spans="4:8" ht="11.25" customHeight="1">
      <c r="D2007" s="163"/>
      <c r="E2007" s="163"/>
      <c r="F2007" s="163"/>
      <c r="G2007" s="163"/>
      <c r="H2007" s="163"/>
    </row>
    <row r="2008" spans="4:8" ht="11.25" customHeight="1">
      <c r="D2008" s="163"/>
      <c r="E2008" s="163"/>
      <c r="F2008" s="163"/>
      <c r="G2008" s="163"/>
      <c r="H2008" s="163"/>
    </row>
    <row r="2009" spans="4:8" ht="11.25" customHeight="1">
      <c r="D2009" s="163"/>
      <c r="E2009" s="163"/>
      <c r="F2009" s="163"/>
      <c r="G2009" s="163"/>
      <c r="H2009" s="163"/>
    </row>
    <row r="2010" spans="4:8" ht="11.25" customHeight="1">
      <c r="D2010" s="163"/>
      <c r="E2010" s="163"/>
      <c r="F2010" s="163"/>
      <c r="G2010" s="163"/>
      <c r="H2010" s="163"/>
    </row>
    <row r="2011" spans="4:8" ht="11.25" customHeight="1">
      <c r="D2011" s="163"/>
      <c r="E2011" s="163"/>
      <c r="F2011" s="163"/>
      <c r="G2011" s="163"/>
      <c r="H2011" s="163"/>
    </row>
    <row r="2012" spans="4:8" ht="11.25" customHeight="1">
      <c r="D2012" s="163"/>
      <c r="E2012" s="163"/>
      <c r="F2012" s="163"/>
      <c r="G2012" s="163"/>
      <c r="H2012" s="163"/>
    </row>
    <row r="2013" spans="4:8" ht="11.25" customHeight="1">
      <c r="D2013" s="163"/>
      <c r="E2013" s="163"/>
      <c r="F2013" s="163"/>
      <c r="G2013" s="163"/>
      <c r="H2013" s="163"/>
    </row>
    <row r="2014" spans="4:8" ht="11.25" customHeight="1">
      <c r="D2014" s="163"/>
      <c r="E2014" s="163"/>
      <c r="F2014" s="163"/>
      <c r="G2014" s="163"/>
      <c r="H2014" s="163"/>
    </row>
    <row r="2015" spans="4:8" ht="11.25" customHeight="1">
      <c r="D2015" s="163"/>
      <c r="E2015" s="163"/>
      <c r="F2015" s="163"/>
      <c r="G2015" s="163"/>
      <c r="H2015" s="163"/>
    </row>
    <row r="2016" spans="4:8" ht="11.25" customHeight="1">
      <c r="D2016" s="163"/>
      <c r="E2016" s="163"/>
      <c r="F2016" s="163"/>
      <c r="G2016" s="163"/>
      <c r="H2016" s="163"/>
    </row>
    <row r="2017" spans="4:8" ht="11.25" customHeight="1">
      <c r="D2017" s="163"/>
      <c r="E2017" s="163"/>
      <c r="F2017" s="163"/>
      <c r="G2017" s="163"/>
      <c r="H2017" s="163"/>
    </row>
    <row r="2018" spans="4:8" ht="11.25" customHeight="1">
      <c r="D2018" s="163"/>
      <c r="E2018" s="163"/>
      <c r="F2018" s="163"/>
      <c r="G2018" s="163"/>
      <c r="H2018" s="163"/>
    </row>
    <row r="2019" spans="4:8" ht="11.25" customHeight="1">
      <c r="D2019" s="163"/>
      <c r="E2019" s="163"/>
      <c r="F2019" s="163"/>
      <c r="G2019" s="163"/>
      <c r="H2019" s="163"/>
    </row>
    <row r="2020" spans="4:8" ht="11.25" customHeight="1">
      <c r="D2020" s="163"/>
      <c r="E2020" s="163"/>
      <c r="F2020" s="163"/>
      <c r="G2020" s="163"/>
      <c r="H2020" s="163"/>
    </row>
    <row r="2021" spans="4:8" ht="11.25" customHeight="1">
      <c r="D2021" s="163"/>
      <c r="E2021" s="163"/>
      <c r="F2021" s="163"/>
      <c r="G2021" s="163"/>
      <c r="H2021" s="163"/>
    </row>
    <row r="2022" spans="4:8" ht="11.25" customHeight="1">
      <c r="D2022" s="163"/>
      <c r="E2022" s="163"/>
      <c r="F2022" s="163"/>
      <c r="G2022" s="163"/>
      <c r="H2022" s="163"/>
    </row>
    <row r="2023" spans="4:8" ht="11.25" customHeight="1">
      <c r="D2023" s="163"/>
      <c r="E2023" s="163"/>
      <c r="F2023" s="163"/>
      <c r="G2023" s="163"/>
      <c r="H2023" s="163"/>
    </row>
    <row r="2024" spans="4:8" ht="11.25" customHeight="1">
      <c r="D2024" s="163"/>
      <c r="E2024" s="163"/>
      <c r="F2024" s="163"/>
      <c r="G2024" s="163"/>
      <c r="H2024" s="163"/>
    </row>
    <row r="2025" spans="4:8" ht="11.25" customHeight="1">
      <c r="D2025" s="163"/>
      <c r="E2025" s="163"/>
      <c r="F2025" s="163"/>
      <c r="G2025" s="163"/>
      <c r="H2025" s="163"/>
    </row>
    <row r="2026" spans="4:8" ht="11.25" customHeight="1">
      <c r="D2026" s="163"/>
      <c r="E2026" s="163"/>
      <c r="F2026" s="163"/>
      <c r="G2026" s="163"/>
      <c r="H2026" s="163"/>
    </row>
    <row r="2027" spans="4:8" ht="11.25" customHeight="1">
      <c r="D2027" s="163"/>
      <c r="E2027" s="163"/>
      <c r="F2027" s="163"/>
      <c r="G2027" s="163"/>
      <c r="H2027" s="163"/>
    </row>
    <row r="2028" spans="4:8" ht="11.25" customHeight="1">
      <c r="D2028" s="163"/>
      <c r="E2028" s="163"/>
      <c r="F2028" s="163"/>
      <c r="G2028" s="163"/>
      <c r="H2028" s="163"/>
    </row>
    <row r="2029" spans="4:8" ht="11.25" customHeight="1">
      <c r="D2029" s="163"/>
      <c r="E2029" s="163"/>
      <c r="F2029" s="163"/>
      <c r="G2029" s="163"/>
      <c r="H2029" s="163"/>
    </row>
    <row r="2030" spans="4:8" ht="11.25" customHeight="1">
      <c r="D2030" s="163"/>
      <c r="E2030" s="163"/>
      <c r="F2030" s="163"/>
      <c r="G2030" s="163"/>
      <c r="H2030" s="163"/>
    </row>
    <row r="2031" spans="4:8" ht="11.25" customHeight="1">
      <c r="D2031" s="163"/>
      <c r="E2031" s="163"/>
      <c r="F2031" s="163"/>
      <c r="G2031" s="163"/>
      <c r="H2031" s="163"/>
    </row>
    <row r="2032" spans="4:8" ht="11.25" customHeight="1">
      <c r="D2032" s="163"/>
      <c r="E2032" s="163"/>
      <c r="F2032" s="163"/>
      <c r="G2032" s="163"/>
      <c r="H2032" s="163"/>
    </row>
    <row r="2033" spans="4:8" ht="11.25" customHeight="1">
      <c r="D2033" s="163"/>
      <c r="E2033" s="163"/>
      <c r="F2033" s="163"/>
      <c r="G2033" s="163"/>
      <c r="H2033" s="163"/>
    </row>
    <row r="2034" spans="4:8" ht="11.25" customHeight="1">
      <c r="D2034" s="163"/>
      <c r="E2034" s="163"/>
      <c r="F2034" s="163"/>
      <c r="G2034" s="163"/>
      <c r="H2034" s="163"/>
    </row>
    <row r="2035" spans="4:8" ht="11.25" customHeight="1">
      <c r="D2035" s="163"/>
      <c r="E2035" s="163"/>
      <c r="F2035" s="163"/>
      <c r="G2035" s="163"/>
      <c r="H2035" s="163"/>
    </row>
    <row r="2036" spans="4:8" ht="11.25" customHeight="1">
      <c r="D2036" s="163"/>
      <c r="E2036" s="163"/>
      <c r="F2036" s="163"/>
      <c r="G2036" s="163"/>
      <c r="H2036" s="163"/>
    </row>
    <row r="2037" spans="4:8" ht="11.25" customHeight="1">
      <c r="D2037" s="163"/>
      <c r="E2037" s="163"/>
      <c r="F2037" s="163"/>
      <c r="G2037" s="163"/>
      <c r="H2037" s="163"/>
    </row>
    <row r="2038" spans="4:8" ht="11.25" customHeight="1">
      <c r="D2038" s="163"/>
      <c r="E2038" s="163"/>
      <c r="F2038" s="163"/>
      <c r="G2038" s="163"/>
      <c r="H2038" s="163"/>
    </row>
    <row r="2039" spans="4:8" ht="11.25" customHeight="1">
      <c r="D2039" s="163"/>
      <c r="E2039" s="163"/>
      <c r="F2039" s="163"/>
      <c r="G2039" s="163"/>
      <c r="H2039" s="163"/>
    </row>
    <row r="2040" spans="4:8" ht="11.25" customHeight="1">
      <c r="D2040" s="163"/>
      <c r="E2040" s="163"/>
      <c r="F2040" s="163"/>
      <c r="G2040" s="163"/>
      <c r="H2040" s="163"/>
    </row>
    <row r="2041" spans="4:8" ht="11.25" customHeight="1">
      <c r="D2041" s="163"/>
      <c r="E2041" s="163"/>
      <c r="F2041" s="163"/>
      <c r="G2041" s="163"/>
      <c r="H2041" s="163"/>
    </row>
    <row r="2042" spans="4:8" ht="11.25" customHeight="1">
      <c r="D2042" s="163"/>
      <c r="E2042" s="163"/>
      <c r="F2042" s="163"/>
      <c r="G2042" s="163"/>
      <c r="H2042" s="163"/>
    </row>
    <row r="2043" spans="4:8" ht="11.25" customHeight="1">
      <c r="D2043" s="163"/>
      <c r="E2043" s="163"/>
      <c r="F2043" s="163"/>
      <c r="G2043" s="163"/>
      <c r="H2043" s="163"/>
    </row>
    <row r="2044" spans="4:8" ht="11.25" customHeight="1">
      <c r="D2044" s="163"/>
      <c r="E2044" s="163"/>
      <c r="F2044" s="163"/>
      <c r="G2044" s="163"/>
      <c r="H2044" s="163"/>
    </row>
    <row r="2045" spans="4:8" ht="11.25" customHeight="1">
      <c r="D2045" s="163"/>
      <c r="E2045" s="163"/>
      <c r="F2045" s="163"/>
      <c r="G2045" s="163"/>
      <c r="H2045" s="163"/>
    </row>
    <row r="2046" spans="4:8" ht="11.25" customHeight="1">
      <c r="D2046" s="163"/>
      <c r="E2046" s="163"/>
      <c r="F2046" s="163"/>
      <c r="G2046" s="163"/>
      <c r="H2046" s="163"/>
    </row>
    <row r="2047" spans="4:8" ht="11.25" customHeight="1">
      <c r="D2047" s="163"/>
      <c r="E2047" s="163"/>
      <c r="F2047" s="163"/>
      <c r="G2047" s="163"/>
      <c r="H2047" s="163"/>
    </row>
    <row r="2048" spans="4:8" ht="11.25" customHeight="1">
      <c r="D2048" s="163"/>
      <c r="E2048" s="163"/>
      <c r="F2048" s="163"/>
      <c r="G2048" s="163"/>
      <c r="H2048" s="163"/>
    </row>
    <row r="2049" spans="4:8" ht="11.25" customHeight="1">
      <c r="D2049" s="163"/>
      <c r="E2049" s="163"/>
      <c r="F2049" s="163"/>
      <c r="G2049" s="163"/>
      <c r="H2049" s="163"/>
    </row>
    <row r="2050" spans="4:8" ht="11.25" customHeight="1">
      <c r="D2050" s="163"/>
      <c r="E2050" s="163"/>
      <c r="F2050" s="163"/>
      <c r="G2050" s="163"/>
      <c r="H2050" s="163"/>
    </row>
    <row r="2051" spans="4:8" ht="11.25" customHeight="1">
      <c r="D2051" s="163"/>
      <c r="E2051" s="163"/>
      <c r="F2051" s="163"/>
      <c r="G2051" s="163"/>
      <c r="H2051" s="163"/>
    </row>
    <row r="2052" spans="4:8" ht="11.25" customHeight="1">
      <c r="D2052" s="163"/>
      <c r="E2052" s="163"/>
      <c r="F2052" s="163"/>
      <c r="G2052" s="163"/>
      <c r="H2052" s="163"/>
    </row>
    <row r="2053" spans="4:8" ht="11.25" customHeight="1">
      <c r="D2053" s="163"/>
      <c r="E2053" s="163"/>
      <c r="F2053" s="163"/>
      <c r="G2053" s="163"/>
      <c r="H2053" s="163"/>
    </row>
    <row r="2054" spans="4:8" ht="11.25" customHeight="1">
      <c r="D2054" s="163"/>
      <c r="E2054" s="163"/>
      <c r="F2054" s="163"/>
      <c r="G2054" s="163"/>
      <c r="H2054" s="163"/>
    </row>
    <row r="2055" spans="4:8" ht="11.25" customHeight="1">
      <c r="D2055" s="163"/>
      <c r="E2055" s="163"/>
      <c r="F2055" s="163"/>
      <c r="G2055" s="163"/>
      <c r="H2055" s="163"/>
    </row>
    <row r="2056" spans="4:8" ht="11.25" customHeight="1">
      <c r="D2056" s="163"/>
      <c r="E2056" s="163"/>
      <c r="F2056" s="163"/>
      <c r="G2056" s="163"/>
      <c r="H2056" s="163"/>
    </row>
    <row r="2057" spans="4:8" ht="11.25" customHeight="1">
      <c r="D2057" s="163"/>
      <c r="E2057" s="163"/>
      <c r="F2057" s="163"/>
      <c r="G2057" s="163"/>
      <c r="H2057" s="163"/>
    </row>
    <row r="2058" spans="4:8" ht="11.25" customHeight="1">
      <c r="D2058" s="163"/>
      <c r="E2058" s="163"/>
      <c r="F2058" s="163"/>
      <c r="G2058" s="163"/>
      <c r="H2058" s="163"/>
    </row>
    <row r="2059" spans="4:8" ht="11.25" customHeight="1">
      <c r="D2059" s="163"/>
      <c r="E2059" s="163"/>
      <c r="F2059" s="163"/>
      <c r="G2059" s="163"/>
      <c r="H2059" s="163"/>
    </row>
    <row r="2060" spans="4:8" ht="11.25" customHeight="1">
      <c r="D2060" s="163"/>
      <c r="E2060" s="163"/>
      <c r="F2060" s="163"/>
      <c r="G2060" s="163"/>
      <c r="H2060" s="163"/>
    </row>
    <row r="2061" spans="4:8" ht="11.25" customHeight="1">
      <c r="D2061" s="163"/>
      <c r="E2061" s="163"/>
      <c r="F2061" s="163"/>
      <c r="G2061" s="163"/>
      <c r="H2061" s="163"/>
    </row>
    <row r="2062" spans="4:8" ht="11.25" customHeight="1">
      <c r="D2062" s="163"/>
      <c r="E2062" s="163"/>
      <c r="F2062" s="163"/>
      <c r="G2062" s="163"/>
      <c r="H2062" s="163"/>
    </row>
    <row r="2063" spans="4:8" ht="11.25" customHeight="1">
      <c r="D2063" s="163"/>
      <c r="E2063" s="163"/>
      <c r="F2063" s="163"/>
      <c r="G2063" s="163"/>
      <c r="H2063" s="163"/>
    </row>
    <row r="2064" spans="4:8" ht="11.25" customHeight="1">
      <c r="D2064" s="163"/>
      <c r="E2064" s="163"/>
      <c r="F2064" s="163"/>
      <c r="G2064" s="163"/>
      <c r="H2064" s="163"/>
    </row>
    <row r="2065" spans="4:8" ht="11.25" customHeight="1">
      <c r="D2065" s="163"/>
      <c r="E2065" s="163"/>
      <c r="F2065" s="163"/>
      <c r="G2065" s="163"/>
      <c r="H2065" s="163"/>
    </row>
    <row r="2066" spans="4:8" ht="11.25" customHeight="1">
      <c r="D2066" s="163"/>
      <c r="E2066" s="163"/>
      <c r="F2066" s="163"/>
      <c r="G2066" s="163"/>
      <c r="H2066" s="163"/>
    </row>
    <row r="2067" spans="4:8" ht="11.25" customHeight="1">
      <c r="D2067" s="163"/>
      <c r="E2067" s="163"/>
      <c r="F2067" s="163"/>
      <c r="G2067" s="163"/>
      <c r="H2067" s="163"/>
    </row>
    <row r="2068" spans="4:8" ht="11.25" customHeight="1">
      <c r="D2068" s="163"/>
      <c r="E2068" s="163"/>
      <c r="F2068" s="163"/>
      <c r="G2068" s="163"/>
      <c r="H2068" s="163"/>
    </row>
    <row r="2069" spans="4:8" ht="11.25" customHeight="1">
      <c r="D2069" s="163"/>
      <c r="E2069" s="163"/>
      <c r="F2069" s="163"/>
      <c r="G2069" s="163"/>
      <c r="H2069" s="163"/>
    </row>
    <row r="2070" spans="4:8" ht="11.25" customHeight="1">
      <c r="D2070" s="163"/>
      <c r="E2070" s="163"/>
      <c r="F2070" s="163"/>
      <c r="G2070" s="163"/>
      <c r="H2070" s="163"/>
    </row>
    <row r="2071" spans="4:8" ht="11.25" customHeight="1">
      <c r="D2071" s="163"/>
      <c r="E2071" s="163"/>
      <c r="F2071" s="163"/>
      <c r="G2071" s="163"/>
      <c r="H2071" s="163"/>
    </row>
    <row r="2072" spans="4:8" ht="11.25" customHeight="1">
      <c r="D2072" s="163"/>
      <c r="E2072" s="163"/>
      <c r="F2072" s="163"/>
      <c r="G2072" s="163"/>
      <c r="H2072" s="163"/>
    </row>
    <row r="2073" spans="4:8" ht="11.25" customHeight="1">
      <c r="D2073" s="163"/>
      <c r="E2073" s="163"/>
      <c r="F2073" s="163"/>
      <c r="G2073" s="163"/>
      <c r="H2073" s="163"/>
    </row>
    <row r="2074" spans="4:8" ht="11.25" customHeight="1">
      <c r="D2074" s="163"/>
      <c r="E2074" s="163"/>
      <c r="F2074" s="163"/>
      <c r="G2074" s="163"/>
      <c r="H2074" s="163"/>
    </row>
    <row r="2075" spans="4:8" ht="11.25" customHeight="1">
      <c r="D2075" s="163"/>
      <c r="E2075" s="163"/>
      <c r="F2075" s="163"/>
      <c r="G2075" s="163"/>
      <c r="H2075" s="163"/>
    </row>
    <row r="2076" spans="4:8" ht="11.25" customHeight="1">
      <c r="D2076" s="163"/>
      <c r="E2076" s="163"/>
      <c r="F2076" s="163"/>
      <c r="G2076" s="163"/>
      <c r="H2076" s="163"/>
    </row>
    <row r="2077" spans="4:8" ht="11.25" customHeight="1">
      <c r="D2077" s="163"/>
      <c r="E2077" s="163"/>
      <c r="F2077" s="163"/>
      <c r="G2077" s="163"/>
      <c r="H2077" s="163"/>
    </row>
    <row r="2078" spans="4:8" ht="11.25" customHeight="1">
      <c r="D2078" s="163"/>
      <c r="E2078" s="163"/>
      <c r="F2078" s="163"/>
      <c r="G2078" s="163"/>
      <c r="H2078" s="163"/>
    </row>
    <row r="2079" spans="4:8" ht="11.25" customHeight="1">
      <c r="D2079" s="163"/>
      <c r="E2079" s="163"/>
      <c r="F2079" s="163"/>
      <c r="G2079" s="163"/>
      <c r="H2079" s="163"/>
    </row>
    <row r="2080" spans="4:8" ht="11.25" customHeight="1">
      <c r="D2080" s="163"/>
      <c r="E2080" s="163"/>
      <c r="F2080" s="163"/>
      <c r="G2080" s="163"/>
      <c r="H2080" s="163"/>
    </row>
    <row r="2081" spans="4:8" ht="11.25" customHeight="1">
      <c r="D2081" s="163"/>
      <c r="E2081" s="163"/>
      <c r="F2081" s="163"/>
      <c r="G2081" s="163"/>
      <c r="H2081" s="163"/>
    </row>
    <row r="2082" spans="4:8" ht="11.25" customHeight="1">
      <c r="D2082" s="163"/>
      <c r="E2082" s="163"/>
      <c r="F2082" s="163"/>
      <c r="G2082" s="163"/>
      <c r="H2082" s="163"/>
    </row>
    <row r="2083" spans="4:8" ht="11.25" customHeight="1">
      <c r="D2083" s="163"/>
      <c r="E2083" s="163"/>
      <c r="F2083" s="163"/>
      <c r="G2083" s="163"/>
      <c r="H2083" s="163"/>
    </row>
    <row r="2084" spans="4:8" ht="11.25" customHeight="1">
      <c r="D2084" s="163"/>
      <c r="E2084" s="163"/>
      <c r="F2084" s="163"/>
      <c r="G2084" s="163"/>
      <c r="H2084" s="163"/>
    </row>
    <row r="2085" spans="4:8" ht="11.25" customHeight="1">
      <c r="D2085" s="163"/>
      <c r="E2085" s="163"/>
      <c r="F2085" s="163"/>
      <c r="G2085" s="163"/>
      <c r="H2085" s="163"/>
    </row>
    <row r="2086" spans="4:8" ht="11.25" customHeight="1">
      <c r="D2086" s="163"/>
      <c r="E2086" s="163"/>
      <c r="F2086" s="163"/>
      <c r="G2086" s="163"/>
      <c r="H2086" s="163"/>
    </row>
    <row r="2087" spans="4:8" ht="11.25" customHeight="1">
      <c r="D2087" s="163"/>
      <c r="E2087" s="163"/>
      <c r="F2087" s="163"/>
      <c r="G2087" s="163"/>
      <c r="H2087" s="163"/>
    </row>
    <row r="2088" spans="4:8" ht="11.25" customHeight="1">
      <c r="D2088" s="163"/>
      <c r="E2088" s="163"/>
      <c r="F2088" s="163"/>
      <c r="G2088" s="163"/>
      <c r="H2088" s="163"/>
    </row>
    <row r="2089" spans="4:8" ht="11.25" customHeight="1">
      <c r="D2089" s="163"/>
      <c r="E2089" s="163"/>
      <c r="F2089" s="163"/>
      <c r="G2089" s="163"/>
      <c r="H2089" s="163"/>
    </row>
    <row r="2090" spans="4:8" ht="11.25" customHeight="1">
      <c r="D2090" s="163"/>
      <c r="E2090" s="163"/>
      <c r="F2090" s="163"/>
      <c r="G2090" s="163"/>
      <c r="H2090" s="163"/>
    </row>
    <row r="2091" spans="4:8" ht="11.25" customHeight="1">
      <c r="D2091" s="163"/>
      <c r="E2091" s="163"/>
      <c r="F2091" s="163"/>
      <c r="G2091" s="163"/>
      <c r="H2091" s="163"/>
    </row>
    <row r="2092" spans="4:8" ht="11.25" customHeight="1">
      <c r="D2092" s="163"/>
      <c r="E2092" s="163"/>
      <c r="F2092" s="163"/>
      <c r="G2092" s="163"/>
      <c r="H2092" s="163"/>
    </row>
    <row r="2093" spans="4:8" ht="11.25" customHeight="1">
      <c r="D2093" s="163"/>
      <c r="E2093" s="163"/>
      <c r="F2093" s="163"/>
      <c r="G2093" s="163"/>
      <c r="H2093" s="163"/>
    </row>
    <row r="2094" spans="4:8" ht="11.25" customHeight="1">
      <c r="D2094" s="163"/>
      <c r="E2094" s="163"/>
      <c r="F2094" s="163"/>
      <c r="G2094" s="163"/>
      <c r="H2094" s="163"/>
    </row>
    <row r="2095" spans="4:8" ht="11.25" customHeight="1">
      <c r="D2095" s="163"/>
      <c r="E2095" s="163"/>
      <c r="F2095" s="163"/>
      <c r="G2095" s="163"/>
      <c r="H2095" s="163"/>
    </row>
    <row r="2096" spans="4:8" ht="11.25" customHeight="1">
      <c r="D2096" s="163"/>
      <c r="E2096" s="163"/>
      <c r="F2096" s="163"/>
      <c r="G2096" s="163"/>
      <c r="H2096" s="163"/>
    </row>
    <row r="2097" spans="4:8" ht="11.25" customHeight="1">
      <c r="D2097" s="163"/>
      <c r="E2097" s="163"/>
      <c r="F2097" s="163"/>
      <c r="G2097" s="163"/>
      <c r="H2097" s="163"/>
    </row>
    <row r="2098" spans="4:8" ht="11.25" customHeight="1">
      <c r="D2098" s="163"/>
      <c r="E2098" s="163"/>
      <c r="F2098" s="163"/>
      <c r="G2098" s="163"/>
      <c r="H2098" s="163"/>
    </row>
    <row r="2099" spans="4:8" ht="11.25" customHeight="1">
      <c r="D2099" s="163"/>
      <c r="E2099" s="163"/>
      <c r="F2099" s="163"/>
      <c r="G2099" s="163"/>
      <c r="H2099" s="163"/>
    </row>
    <row r="2100" spans="4:8" ht="11.25" customHeight="1">
      <c r="D2100" s="163"/>
      <c r="E2100" s="163"/>
      <c r="F2100" s="163"/>
      <c r="G2100" s="163"/>
      <c r="H2100" s="163"/>
    </row>
    <row r="2101" spans="4:8" ht="11.25" customHeight="1">
      <c r="D2101" s="163"/>
      <c r="E2101" s="163"/>
      <c r="F2101" s="163"/>
      <c r="G2101" s="163"/>
      <c r="H2101" s="163"/>
    </row>
    <row r="2102" spans="4:8" ht="11.25" customHeight="1">
      <c r="D2102" s="163"/>
      <c r="E2102" s="163"/>
      <c r="F2102" s="163"/>
      <c r="G2102" s="163"/>
      <c r="H2102" s="163"/>
    </row>
    <row r="2103" spans="4:8" ht="11.25" customHeight="1">
      <c r="D2103" s="163"/>
      <c r="E2103" s="163"/>
      <c r="F2103" s="163"/>
      <c r="G2103" s="163"/>
      <c r="H2103" s="163"/>
    </row>
    <row r="2104" spans="4:8" ht="11.25" customHeight="1">
      <c r="D2104" s="163"/>
      <c r="E2104" s="163"/>
      <c r="F2104" s="163"/>
      <c r="G2104" s="163"/>
      <c r="H2104" s="163"/>
    </row>
    <row r="2105" spans="4:8" ht="11.25" customHeight="1">
      <c r="D2105" s="163"/>
      <c r="E2105" s="163"/>
      <c r="F2105" s="163"/>
      <c r="G2105" s="163"/>
      <c r="H2105" s="163"/>
    </row>
    <row r="2106" spans="4:8" ht="11.25" customHeight="1">
      <c r="D2106" s="163"/>
      <c r="E2106" s="163"/>
      <c r="F2106" s="163"/>
      <c r="G2106" s="163"/>
      <c r="H2106" s="163"/>
    </row>
    <row r="2107" spans="4:8" ht="11.25" customHeight="1">
      <c r="D2107" s="163"/>
      <c r="E2107" s="163"/>
      <c r="F2107" s="163"/>
      <c r="G2107" s="163"/>
      <c r="H2107" s="163"/>
    </row>
    <row r="2108" spans="4:8" ht="11.25" customHeight="1">
      <c r="D2108" s="163"/>
      <c r="E2108" s="163"/>
      <c r="F2108" s="163"/>
      <c r="G2108" s="163"/>
      <c r="H2108" s="163"/>
    </row>
    <row r="2109" spans="4:8" ht="11.25" customHeight="1">
      <c r="D2109" s="163"/>
      <c r="E2109" s="163"/>
      <c r="F2109" s="163"/>
      <c r="G2109" s="163"/>
      <c r="H2109" s="163"/>
    </row>
    <row r="2110" spans="4:8" ht="11.25" customHeight="1">
      <c r="D2110" s="163"/>
      <c r="E2110" s="163"/>
      <c r="F2110" s="163"/>
      <c r="G2110" s="163"/>
      <c r="H2110" s="163"/>
    </row>
    <row r="2111" spans="4:8" ht="11.25" customHeight="1">
      <c r="D2111" s="163"/>
      <c r="E2111" s="163"/>
      <c r="F2111" s="163"/>
      <c r="G2111" s="163"/>
      <c r="H2111" s="163"/>
    </row>
    <row r="2112" spans="4:8" ht="11.25" customHeight="1">
      <c r="D2112" s="163"/>
      <c r="E2112" s="163"/>
      <c r="F2112" s="163"/>
      <c r="G2112" s="163"/>
      <c r="H2112" s="163"/>
    </row>
    <row r="2113" spans="4:8" ht="11.25" customHeight="1">
      <c r="D2113" s="163"/>
      <c r="E2113" s="163"/>
      <c r="F2113" s="163"/>
      <c r="G2113" s="163"/>
      <c r="H2113" s="163"/>
    </row>
    <row r="2114" spans="4:8" ht="11.25" customHeight="1">
      <c r="D2114" s="163"/>
      <c r="E2114" s="163"/>
      <c r="F2114" s="163"/>
      <c r="G2114" s="163"/>
      <c r="H2114" s="163"/>
    </row>
    <row r="2115" spans="4:8" ht="11.25" customHeight="1">
      <c r="D2115" s="163"/>
      <c r="E2115" s="163"/>
      <c r="F2115" s="163"/>
      <c r="G2115" s="163"/>
      <c r="H2115" s="163"/>
    </row>
    <row r="2116" spans="4:8" ht="11.25" customHeight="1">
      <c r="D2116" s="163"/>
      <c r="E2116" s="163"/>
      <c r="F2116" s="163"/>
      <c r="G2116" s="163"/>
      <c r="H2116" s="163"/>
    </row>
    <row r="2117" spans="4:8" ht="11.25" customHeight="1">
      <c r="D2117" s="163"/>
      <c r="E2117" s="163"/>
      <c r="F2117" s="163"/>
      <c r="G2117" s="163"/>
      <c r="H2117" s="163"/>
    </row>
    <row r="2118" spans="4:8" ht="11.25" customHeight="1">
      <c r="D2118" s="163"/>
      <c r="E2118" s="163"/>
      <c r="F2118" s="163"/>
      <c r="G2118" s="163"/>
      <c r="H2118" s="163"/>
    </row>
    <row r="2119" spans="4:8" ht="11.25" customHeight="1">
      <c r="D2119" s="163"/>
      <c r="E2119" s="163"/>
      <c r="F2119" s="163"/>
      <c r="G2119" s="163"/>
      <c r="H2119" s="163"/>
    </row>
    <row r="2120" spans="4:8" ht="11.25" customHeight="1">
      <c r="D2120" s="163"/>
      <c r="E2120" s="163"/>
      <c r="F2120" s="163"/>
      <c r="G2120" s="163"/>
      <c r="H2120" s="163"/>
    </row>
    <row r="2121" spans="4:8" ht="11.25" customHeight="1">
      <c r="D2121" s="163"/>
      <c r="E2121" s="163"/>
      <c r="F2121" s="163"/>
      <c r="G2121" s="163"/>
      <c r="H2121" s="163"/>
    </row>
    <row r="2122" spans="4:8" ht="11.25" customHeight="1">
      <c r="D2122" s="163"/>
      <c r="E2122" s="163"/>
      <c r="F2122" s="163"/>
      <c r="G2122" s="163"/>
      <c r="H2122" s="163"/>
    </row>
    <row r="2123" spans="4:8" ht="11.25" customHeight="1">
      <c r="D2123" s="163"/>
      <c r="E2123" s="163"/>
      <c r="F2123" s="163"/>
      <c r="G2123" s="163"/>
      <c r="H2123" s="163"/>
    </row>
    <row r="2124" spans="4:8" ht="11.25" customHeight="1">
      <c r="D2124" s="163"/>
      <c r="E2124" s="163"/>
      <c r="F2124" s="163"/>
      <c r="G2124" s="163"/>
      <c r="H2124" s="163"/>
    </row>
    <row r="2125" spans="4:8" ht="11.25" customHeight="1">
      <c r="D2125" s="163"/>
      <c r="E2125" s="163"/>
      <c r="F2125" s="163"/>
      <c r="G2125" s="163"/>
      <c r="H2125" s="163"/>
    </row>
    <row r="2126" spans="4:8" ht="11.25" customHeight="1">
      <c r="D2126" s="163"/>
      <c r="E2126" s="163"/>
      <c r="F2126" s="163"/>
      <c r="G2126" s="163"/>
      <c r="H2126" s="163"/>
    </row>
    <row r="2127" spans="4:8" ht="11.25" customHeight="1">
      <c r="D2127" s="163"/>
      <c r="E2127" s="163"/>
      <c r="F2127" s="163"/>
      <c r="G2127" s="163"/>
      <c r="H2127" s="163"/>
    </row>
    <row r="2128" spans="4:8" ht="11.25" customHeight="1">
      <c r="D2128" s="163"/>
      <c r="E2128" s="163"/>
      <c r="F2128" s="163"/>
      <c r="G2128" s="163"/>
      <c r="H2128" s="163"/>
    </row>
    <row r="2129" spans="4:8" ht="11.25" customHeight="1">
      <c r="D2129" s="163"/>
      <c r="E2129" s="163"/>
      <c r="F2129" s="163"/>
      <c r="G2129" s="163"/>
      <c r="H2129" s="163"/>
    </row>
    <row r="2130" spans="4:8" ht="11.25" customHeight="1">
      <c r="D2130" s="163"/>
      <c r="E2130" s="163"/>
      <c r="F2130" s="163"/>
      <c r="G2130" s="163"/>
      <c r="H2130" s="163"/>
    </row>
    <row r="2131" spans="4:8" ht="11.25" customHeight="1">
      <c r="D2131" s="163"/>
      <c r="E2131" s="163"/>
      <c r="F2131" s="163"/>
      <c r="G2131" s="163"/>
      <c r="H2131" s="163"/>
    </row>
    <row r="2132" spans="4:8" ht="11.25" customHeight="1">
      <c r="D2132" s="163"/>
      <c r="E2132" s="163"/>
      <c r="F2132" s="163"/>
      <c r="G2132" s="163"/>
      <c r="H2132" s="163"/>
    </row>
    <row r="2133" spans="4:8" ht="11.25" customHeight="1">
      <c r="D2133" s="163"/>
      <c r="E2133" s="163"/>
      <c r="F2133" s="163"/>
      <c r="G2133" s="163"/>
      <c r="H2133" s="163"/>
    </row>
    <row r="2134" spans="4:8" ht="11.25" customHeight="1">
      <c r="D2134" s="163"/>
      <c r="E2134" s="163"/>
      <c r="F2134" s="163"/>
      <c r="G2134" s="163"/>
      <c r="H2134" s="163"/>
    </row>
    <row r="2135" spans="4:8" ht="11.25" customHeight="1">
      <c r="D2135" s="163"/>
      <c r="E2135" s="163"/>
      <c r="F2135" s="163"/>
      <c r="G2135" s="163"/>
      <c r="H2135" s="163"/>
    </row>
    <row r="2136" spans="4:8" ht="11.25" customHeight="1">
      <c r="D2136" s="163"/>
      <c r="E2136" s="163"/>
      <c r="F2136" s="163"/>
      <c r="G2136" s="163"/>
      <c r="H2136" s="163"/>
    </row>
    <row r="2137" spans="4:8" ht="11.25" customHeight="1">
      <c r="D2137" s="163"/>
      <c r="E2137" s="163"/>
      <c r="F2137" s="163"/>
      <c r="G2137" s="163"/>
      <c r="H2137" s="163"/>
    </row>
    <row r="2138" spans="4:8" ht="11.25" customHeight="1">
      <c r="D2138" s="163"/>
      <c r="E2138" s="163"/>
      <c r="F2138" s="163"/>
      <c r="G2138" s="163"/>
      <c r="H2138" s="163"/>
    </row>
    <row r="2139" spans="4:8" ht="11.25" customHeight="1">
      <c r="D2139" s="163"/>
      <c r="E2139" s="163"/>
      <c r="F2139" s="163"/>
      <c r="G2139" s="163"/>
      <c r="H2139" s="163"/>
    </row>
    <row r="2140" spans="4:8" ht="11.25" customHeight="1">
      <c r="D2140" s="163"/>
      <c r="E2140" s="163"/>
      <c r="F2140" s="163"/>
      <c r="G2140" s="163"/>
      <c r="H2140" s="163"/>
    </row>
    <row r="2141" spans="4:8" ht="11.25" customHeight="1">
      <c r="D2141" s="163"/>
      <c r="E2141" s="163"/>
      <c r="F2141" s="163"/>
      <c r="G2141" s="163"/>
      <c r="H2141" s="163"/>
    </row>
    <row r="2142" spans="4:8" ht="11.25" customHeight="1">
      <c r="D2142" s="163"/>
      <c r="E2142" s="163"/>
      <c r="F2142" s="163"/>
      <c r="G2142" s="163"/>
      <c r="H2142" s="163"/>
    </row>
    <row r="2143" spans="4:8" ht="11.25" customHeight="1">
      <c r="D2143" s="163"/>
      <c r="E2143" s="163"/>
      <c r="F2143" s="163"/>
      <c r="G2143" s="163"/>
      <c r="H2143" s="163"/>
    </row>
    <row r="2144" spans="4:8" ht="11.25" customHeight="1">
      <c r="D2144" s="163"/>
      <c r="E2144" s="163"/>
      <c r="F2144" s="163"/>
      <c r="G2144" s="163"/>
      <c r="H2144" s="163"/>
    </row>
    <row r="2145" spans="4:8" ht="11.25" customHeight="1">
      <c r="D2145" s="163"/>
      <c r="E2145" s="163"/>
      <c r="F2145" s="163"/>
      <c r="G2145" s="163"/>
      <c r="H2145" s="163"/>
    </row>
    <row r="2146" spans="4:8" ht="11.25" customHeight="1">
      <c r="D2146" s="163"/>
      <c r="E2146" s="163"/>
      <c r="F2146" s="163"/>
      <c r="G2146" s="163"/>
      <c r="H2146" s="163"/>
    </row>
    <row r="2147" spans="4:8" ht="11.25" customHeight="1">
      <c r="D2147" s="163"/>
      <c r="E2147" s="163"/>
      <c r="F2147" s="163"/>
      <c r="G2147" s="163"/>
      <c r="H2147" s="163"/>
    </row>
    <row r="2148" spans="4:8" ht="11.25" customHeight="1">
      <c r="D2148" s="163"/>
      <c r="E2148" s="163"/>
      <c r="F2148" s="163"/>
      <c r="G2148" s="163"/>
      <c r="H2148" s="163"/>
    </row>
    <row r="2149" spans="4:8" ht="11.25" customHeight="1">
      <c r="D2149" s="163"/>
      <c r="E2149" s="163"/>
      <c r="F2149" s="163"/>
      <c r="G2149" s="163"/>
      <c r="H2149" s="163"/>
    </row>
    <row r="2150" spans="4:8" ht="11.25" customHeight="1">
      <c r="D2150" s="163"/>
      <c r="E2150" s="163"/>
      <c r="F2150" s="163"/>
      <c r="G2150" s="163"/>
      <c r="H2150" s="163"/>
    </row>
    <row r="2151" spans="4:8" ht="11.25" customHeight="1">
      <c r="D2151" s="163"/>
      <c r="E2151" s="163"/>
      <c r="F2151" s="163"/>
      <c r="G2151" s="163"/>
      <c r="H2151" s="163"/>
    </row>
    <row r="2152" spans="4:8" ht="11.25" customHeight="1">
      <c r="D2152" s="163"/>
      <c r="E2152" s="163"/>
      <c r="F2152" s="163"/>
      <c r="G2152" s="163"/>
      <c r="H2152" s="163"/>
    </row>
    <row r="2153" spans="4:8" ht="11.25" customHeight="1">
      <c r="D2153" s="163"/>
      <c r="E2153" s="163"/>
      <c r="F2153" s="163"/>
      <c r="G2153" s="163"/>
      <c r="H2153" s="163"/>
    </row>
    <row r="2154" spans="4:8" ht="11.25" customHeight="1">
      <c r="D2154" s="163"/>
      <c r="E2154" s="163"/>
      <c r="F2154" s="163"/>
      <c r="G2154" s="163"/>
      <c r="H2154" s="163"/>
    </row>
    <row r="2155" spans="4:8" ht="11.25" customHeight="1">
      <c r="D2155" s="163"/>
      <c r="E2155" s="163"/>
      <c r="F2155" s="163"/>
      <c r="G2155" s="163"/>
      <c r="H2155" s="163"/>
    </row>
    <row r="2156" spans="4:8" ht="11.25" customHeight="1">
      <c r="D2156" s="163"/>
      <c r="E2156" s="163"/>
      <c r="F2156" s="163"/>
      <c r="G2156" s="163"/>
      <c r="H2156" s="163"/>
    </row>
    <row r="2157" spans="4:8" ht="11.25" customHeight="1">
      <c r="D2157" s="163"/>
      <c r="E2157" s="163"/>
      <c r="F2157" s="163"/>
      <c r="G2157" s="163"/>
      <c r="H2157" s="163"/>
    </row>
    <row r="2158" spans="4:8" ht="11.25" customHeight="1">
      <c r="D2158" s="163"/>
      <c r="E2158" s="163"/>
      <c r="F2158" s="163"/>
      <c r="G2158" s="163"/>
      <c r="H2158" s="163"/>
    </row>
    <row r="2159" spans="4:8" ht="11.25" customHeight="1">
      <c r="D2159" s="163"/>
      <c r="E2159" s="163"/>
      <c r="F2159" s="163"/>
      <c r="G2159" s="163"/>
      <c r="H2159" s="163"/>
    </row>
    <row r="2160" spans="4:8" ht="11.25" customHeight="1">
      <c r="D2160" s="163"/>
      <c r="E2160" s="163"/>
      <c r="F2160" s="163"/>
      <c r="G2160" s="163"/>
      <c r="H2160" s="163"/>
    </row>
    <row r="2161" spans="4:8" ht="11.25" customHeight="1">
      <c r="D2161" s="163"/>
      <c r="E2161" s="163"/>
      <c r="F2161" s="163"/>
      <c r="G2161" s="163"/>
      <c r="H2161" s="163"/>
    </row>
    <row r="2162" spans="4:8" ht="11.25" customHeight="1">
      <c r="D2162" s="163"/>
      <c r="E2162" s="163"/>
      <c r="F2162" s="163"/>
      <c r="G2162" s="163"/>
      <c r="H2162" s="163"/>
    </row>
    <row r="2163" spans="4:8" ht="11.25" customHeight="1">
      <c r="D2163" s="163"/>
      <c r="E2163" s="163"/>
      <c r="F2163" s="163"/>
      <c r="G2163" s="163"/>
      <c r="H2163" s="163"/>
    </row>
    <row r="2164" spans="4:8" ht="11.25" customHeight="1">
      <c r="D2164" s="163"/>
      <c r="E2164" s="163"/>
      <c r="F2164" s="163"/>
      <c r="G2164" s="163"/>
      <c r="H2164" s="163"/>
    </row>
    <row r="2165" spans="4:8" ht="11.25" customHeight="1">
      <c r="D2165" s="163"/>
      <c r="E2165" s="163"/>
      <c r="F2165" s="163"/>
      <c r="G2165" s="163"/>
      <c r="H2165" s="163"/>
    </row>
    <row r="2166" spans="4:8" ht="11.25" customHeight="1">
      <c r="D2166" s="163"/>
      <c r="E2166" s="163"/>
      <c r="F2166" s="163"/>
      <c r="G2166" s="163"/>
      <c r="H2166" s="163"/>
    </row>
    <row r="2167" spans="4:8" ht="11.25" customHeight="1">
      <c r="D2167" s="163"/>
      <c r="E2167" s="163"/>
      <c r="F2167" s="163"/>
      <c r="G2167" s="163"/>
      <c r="H2167" s="163"/>
    </row>
    <row r="2168" spans="4:8" ht="11.25" customHeight="1">
      <c r="D2168" s="163"/>
      <c r="E2168" s="163"/>
      <c r="F2168" s="163"/>
      <c r="G2168" s="163"/>
      <c r="H2168" s="163"/>
    </row>
    <row r="2169" spans="4:8" ht="11.25" customHeight="1">
      <c r="D2169" s="163"/>
      <c r="E2169" s="163"/>
      <c r="F2169" s="163"/>
      <c r="G2169" s="163"/>
      <c r="H2169" s="163"/>
    </row>
    <row r="2170" spans="4:8" ht="11.25" customHeight="1">
      <c r="D2170" s="163"/>
      <c r="E2170" s="163"/>
      <c r="F2170" s="163"/>
      <c r="G2170" s="163"/>
      <c r="H2170" s="163"/>
    </row>
    <row r="2171" spans="4:8" ht="11.25" customHeight="1">
      <c r="D2171" s="163"/>
      <c r="E2171" s="163"/>
      <c r="F2171" s="163"/>
      <c r="G2171" s="163"/>
      <c r="H2171" s="163"/>
    </row>
    <row r="2172" spans="4:8" ht="11.25" customHeight="1">
      <c r="D2172" s="163"/>
      <c r="E2172" s="163"/>
      <c r="F2172" s="163"/>
      <c r="G2172" s="163"/>
      <c r="H2172" s="163"/>
    </row>
    <row r="2173" spans="4:8" ht="11.25" customHeight="1">
      <c r="D2173" s="163"/>
      <c r="E2173" s="163"/>
      <c r="F2173" s="163"/>
      <c r="G2173" s="163"/>
      <c r="H2173" s="163"/>
    </row>
    <row r="2174" spans="4:8" ht="11.25" customHeight="1">
      <c r="D2174" s="163"/>
      <c r="E2174" s="163"/>
      <c r="F2174" s="163"/>
      <c r="G2174" s="163"/>
      <c r="H2174" s="163"/>
    </row>
    <row r="2175" spans="4:8" ht="11.25" customHeight="1">
      <c r="D2175" s="163"/>
      <c r="E2175" s="163"/>
      <c r="F2175" s="163"/>
      <c r="G2175" s="163"/>
      <c r="H2175" s="163"/>
    </row>
    <row r="2176" spans="4:8" ht="11.25" customHeight="1">
      <c r="D2176" s="163"/>
      <c r="E2176" s="163"/>
      <c r="F2176" s="163"/>
      <c r="G2176" s="163"/>
      <c r="H2176" s="163"/>
    </row>
    <row r="2177" spans="4:8" ht="11.25" customHeight="1">
      <c r="D2177" s="163"/>
      <c r="E2177" s="163"/>
      <c r="F2177" s="163"/>
      <c r="G2177" s="163"/>
      <c r="H2177" s="163"/>
    </row>
    <row r="2178" spans="4:8" ht="11.25" customHeight="1">
      <c r="D2178" s="163"/>
      <c r="E2178" s="163"/>
      <c r="F2178" s="163"/>
      <c r="G2178" s="163"/>
      <c r="H2178" s="163"/>
    </row>
    <row r="2179" spans="4:8" ht="11.25" customHeight="1">
      <c r="D2179" s="163"/>
      <c r="E2179" s="163"/>
      <c r="F2179" s="163"/>
      <c r="G2179" s="163"/>
      <c r="H2179" s="163"/>
    </row>
    <row r="2180" spans="4:8" ht="11.25" customHeight="1">
      <c r="D2180" s="163"/>
      <c r="E2180" s="163"/>
      <c r="F2180" s="163"/>
      <c r="G2180" s="163"/>
      <c r="H2180" s="163"/>
    </row>
    <row r="2181" spans="4:8" ht="11.25" customHeight="1">
      <c r="D2181" s="163"/>
      <c r="E2181" s="163"/>
      <c r="F2181" s="163"/>
      <c r="G2181" s="163"/>
      <c r="H2181" s="163"/>
    </row>
    <row r="2182" spans="4:8" ht="11.25" customHeight="1">
      <c r="D2182" s="163"/>
      <c r="E2182" s="163"/>
      <c r="F2182" s="163"/>
      <c r="G2182" s="163"/>
      <c r="H2182" s="163"/>
    </row>
    <row r="2183" spans="4:8" ht="11.25" customHeight="1">
      <c r="D2183" s="163"/>
      <c r="E2183" s="163"/>
      <c r="F2183" s="163"/>
      <c r="G2183" s="163"/>
      <c r="H2183" s="163"/>
    </row>
    <row r="2184" spans="4:8" ht="11.25" customHeight="1">
      <c r="D2184" s="163"/>
      <c r="E2184" s="163"/>
      <c r="F2184" s="163"/>
      <c r="G2184" s="163"/>
      <c r="H2184" s="163"/>
    </row>
    <row r="2185" spans="4:8" ht="11.25" customHeight="1">
      <c r="D2185" s="163"/>
      <c r="E2185" s="163"/>
      <c r="F2185" s="163"/>
      <c r="G2185" s="163"/>
      <c r="H2185" s="163"/>
    </row>
    <row r="2186" spans="4:8" ht="11.25" customHeight="1">
      <c r="D2186" s="163"/>
      <c r="E2186" s="163"/>
      <c r="F2186" s="163"/>
      <c r="G2186" s="163"/>
      <c r="H2186" s="163"/>
    </row>
    <row r="2187" spans="4:8" ht="11.25" customHeight="1">
      <c r="D2187" s="163"/>
      <c r="E2187" s="163"/>
      <c r="F2187" s="163"/>
      <c r="G2187" s="163"/>
      <c r="H2187" s="163"/>
    </row>
    <row r="2188" spans="4:8" ht="11.25" customHeight="1">
      <c r="D2188" s="163"/>
      <c r="E2188" s="163"/>
      <c r="F2188" s="163"/>
      <c r="G2188" s="163"/>
      <c r="H2188" s="163"/>
    </row>
    <row r="2189" spans="4:8" ht="11.25" customHeight="1">
      <c r="D2189" s="163"/>
      <c r="E2189" s="163"/>
      <c r="F2189" s="163"/>
      <c r="G2189" s="163"/>
      <c r="H2189" s="163"/>
    </row>
    <row r="2190" spans="4:8" ht="11.25" customHeight="1">
      <c r="D2190" s="163"/>
      <c r="E2190" s="163"/>
      <c r="F2190" s="163"/>
      <c r="G2190" s="163"/>
      <c r="H2190" s="163"/>
    </row>
    <row r="2191" spans="4:8" ht="11.25" customHeight="1">
      <c r="D2191" s="163"/>
      <c r="E2191" s="163"/>
      <c r="F2191" s="163"/>
      <c r="G2191" s="163"/>
      <c r="H2191" s="163"/>
    </row>
    <row r="2192" spans="4:8" ht="11.25" customHeight="1">
      <c r="D2192" s="163"/>
      <c r="E2192" s="163"/>
      <c r="F2192" s="163"/>
      <c r="G2192" s="163"/>
      <c r="H2192" s="163"/>
    </row>
    <row r="2193" spans="4:8" ht="11.25" customHeight="1">
      <c r="D2193" s="163"/>
      <c r="E2193" s="163"/>
      <c r="F2193" s="163"/>
      <c r="G2193" s="163"/>
      <c r="H2193" s="163"/>
    </row>
    <row r="2194" spans="4:8" ht="11.25" customHeight="1">
      <c r="D2194" s="163"/>
      <c r="E2194" s="163"/>
      <c r="F2194" s="163"/>
      <c r="G2194" s="163"/>
      <c r="H2194" s="163"/>
    </row>
    <row r="2195" spans="4:8" ht="11.25" customHeight="1">
      <c r="D2195" s="163"/>
      <c r="E2195" s="163"/>
      <c r="F2195" s="163"/>
      <c r="G2195" s="163"/>
      <c r="H2195" s="163"/>
    </row>
    <row r="2196" spans="4:8" ht="11.25" customHeight="1">
      <c r="D2196" s="163"/>
      <c r="E2196" s="163"/>
      <c r="F2196" s="163"/>
      <c r="G2196" s="163"/>
      <c r="H2196" s="163"/>
    </row>
    <row r="2197" spans="4:8" ht="11.25" customHeight="1">
      <c r="D2197" s="163"/>
      <c r="E2197" s="163"/>
      <c r="F2197" s="163"/>
      <c r="G2197" s="163"/>
      <c r="H2197" s="163"/>
    </row>
    <row r="2198" spans="4:8" ht="11.25" customHeight="1">
      <c r="D2198" s="163"/>
      <c r="E2198" s="163"/>
      <c r="F2198" s="163"/>
      <c r="G2198" s="163"/>
      <c r="H2198" s="163"/>
    </row>
    <row r="2199" spans="4:8" ht="11.25" customHeight="1">
      <c r="D2199" s="163"/>
      <c r="E2199" s="163"/>
      <c r="F2199" s="163"/>
      <c r="G2199" s="163"/>
      <c r="H2199" s="163"/>
    </row>
    <row r="2200" spans="4:8" ht="11.25" customHeight="1">
      <c r="D2200" s="163"/>
      <c r="E2200" s="163"/>
      <c r="F2200" s="163"/>
      <c r="G2200" s="163"/>
      <c r="H2200" s="163"/>
    </row>
    <row r="2201" spans="4:8" ht="11.25" customHeight="1">
      <c r="D2201" s="163"/>
      <c r="E2201" s="163"/>
      <c r="F2201" s="163"/>
      <c r="G2201" s="163"/>
      <c r="H2201" s="163"/>
    </row>
    <row r="2202" spans="4:8" ht="11.25" customHeight="1">
      <c r="D2202" s="163"/>
      <c r="E2202" s="163"/>
      <c r="F2202" s="163"/>
      <c r="G2202" s="163"/>
      <c r="H2202" s="163"/>
    </row>
    <row r="2203" spans="4:8" ht="11.25" customHeight="1">
      <c r="D2203" s="163"/>
      <c r="E2203" s="163"/>
      <c r="F2203" s="163"/>
      <c r="G2203" s="163"/>
      <c r="H2203" s="163"/>
    </row>
    <row r="2204" spans="4:8" ht="11.25" customHeight="1">
      <c r="D2204" s="163"/>
      <c r="E2204" s="163"/>
      <c r="F2204" s="163"/>
      <c r="G2204" s="163"/>
      <c r="H2204" s="163"/>
    </row>
    <row r="2205" spans="4:8" ht="11.25" customHeight="1">
      <c r="D2205" s="163"/>
      <c r="E2205" s="163"/>
      <c r="F2205" s="163"/>
      <c r="G2205" s="163"/>
      <c r="H2205" s="163"/>
    </row>
    <row r="2206" spans="4:8" ht="11.25" customHeight="1">
      <c r="D2206" s="163"/>
      <c r="E2206" s="163"/>
      <c r="F2206" s="163"/>
      <c r="G2206" s="163"/>
      <c r="H2206" s="163"/>
    </row>
    <row r="2207" spans="4:8" ht="11.25" customHeight="1">
      <c r="D2207" s="163"/>
      <c r="E2207" s="163"/>
      <c r="F2207" s="163"/>
      <c r="G2207" s="163"/>
      <c r="H2207" s="163"/>
    </row>
    <row r="2208" spans="4:8" ht="11.25" customHeight="1">
      <c r="D2208" s="163"/>
      <c r="E2208" s="163"/>
      <c r="F2208" s="163"/>
      <c r="G2208" s="163"/>
      <c r="H2208" s="163"/>
    </row>
    <row r="2209" spans="4:8" ht="11.25" customHeight="1">
      <c r="D2209" s="163"/>
      <c r="E2209" s="163"/>
      <c r="F2209" s="163"/>
      <c r="G2209" s="163"/>
      <c r="H2209" s="163"/>
    </row>
    <row r="2210" spans="4:8" ht="11.25" customHeight="1">
      <c r="D2210" s="163"/>
      <c r="E2210" s="163"/>
      <c r="F2210" s="163"/>
      <c r="G2210" s="163"/>
      <c r="H2210" s="163"/>
    </row>
    <row r="2211" spans="4:8" ht="11.25" customHeight="1">
      <c r="D2211" s="163"/>
      <c r="E2211" s="163"/>
      <c r="F2211" s="163"/>
      <c r="G2211" s="163"/>
      <c r="H2211" s="163"/>
    </row>
    <row r="2212" spans="4:8" ht="11.25" customHeight="1">
      <c r="D2212" s="163"/>
      <c r="E2212" s="163"/>
      <c r="F2212" s="163"/>
      <c r="G2212" s="163"/>
      <c r="H2212" s="163"/>
    </row>
    <row r="2213" spans="4:8" ht="11.25" customHeight="1">
      <c r="D2213" s="163"/>
      <c r="E2213" s="163"/>
      <c r="F2213" s="163"/>
      <c r="G2213" s="163"/>
      <c r="H2213" s="163"/>
    </row>
    <row r="2214" spans="4:8" ht="11.25" customHeight="1">
      <c r="D2214" s="163"/>
      <c r="E2214" s="163"/>
      <c r="F2214" s="163"/>
      <c r="G2214" s="163"/>
      <c r="H2214" s="163"/>
    </row>
    <row r="2215" spans="4:8" ht="11.25" customHeight="1">
      <c r="D2215" s="163"/>
      <c r="E2215" s="163"/>
      <c r="F2215" s="163"/>
      <c r="G2215" s="163"/>
      <c r="H2215" s="163"/>
    </row>
    <row r="2216" spans="4:8" ht="11.25" customHeight="1">
      <c r="D2216" s="163"/>
      <c r="E2216" s="163"/>
      <c r="F2216" s="163"/>
      <c r="G2216" s="163"/>
      <c r="H2216" s="163"/>
    </row>
    <row r="2217" spans="4:8" ht="11.25" customHeight="1">
      <c r="D2217" s="163"/>
      <c r="E2217" s="163"/>
      <c r="F2217" s="163"/>
      <c r="G2217" s="163"/>
      <c r="H2217" s="163"/>
    </row>
    <row r="2218" spans="4:8" ht="11.25" customHeight="1">
      <c r="D2218" s="163"/>
      <c r="E2218" s="163"/>
      <c r="F2218" s="163"/>
      <c r="G2218" s="163"/>
      <c r="H2218" s="163"/>
    </row>
    <row r="2219" spans="4:8" ht="11.25" customHeight="1">
      <c r="D2219" s="163"/>
      <c r="E2219" s="163"/>
      <c r="F2219" s="163"/>
      <c r="G2219" s="163"/>
      <c r="H2219" s="163"/>
    </row>
    <row r="2220" spans="4:8" ht="11.25" customHeight="1">
      <c r="D2220" s="163"/>
      <c r="E2220" s="163"/>
      <c r="F2220" s="163"/>
      <c r="G2220" s="163"/>
      <c r="H2220" s="163"/>
    </row>
    <row r="2221" spans="4:8" ht="11.25" customHeight="1">
      <c r="D2221" s="163"/>
      <c r="E2221" s="163"/>
      <c r="F2221" s="163"/>
      <c r="G2221" s="163"/>
      <c r="H2221" s="163"/>
    </row>
    <row r="2222" spans="4:8" ht="11.25" customHeight="1">
      <c r="D2222" s="163"/>
      <c r="E2222" s="163"/>
      <c r="F2222" s="163"/>
      <c r="G2222" s="163"/>
      <c r="H2222" s="163"/>
    </row>
    <row r="2223" spans="4:8" ht="11.25" customHeight="1">
      <c r="D2223" s="163"/>
      <c r="E2223" s="163"/>
      <c r="F2223" s="163"/>
      <c r="G2223" s="163"/>
      <c r="H2223" s="163"/>
    </row>
    <row r="2224" spans="4:8" ht="11.25" customHeight="1">
      <c r="D2224" s="163"/>
      <c r="E2224" s="163"/>
      <c r="F2224" s="163"/>
      <c r="G2224" s="163"/>
      <c r="H2224" s="163"/>
    </row>
    <row r="2225" spans="4:8" ht="11.25" customHeight="1">
      <c r="D2225" s="163"/>
      <c r="E2225" s="163"/>
      <c r="F2225" s="163"/>
      <c r="G2225" s="163"/>
      <c r="H2225" s="163"/>
    </row>
    <row r="2226" spans="4:8" ht="11.25" customHeight="1">
      <c r="D2226" s="163"/>
      <c r="E2226" s="163"/>
      <c r="F2226" s="163"/>
      <c r="G2226" s="163"/>
      <c r="H2226" s="163"/>
    </row>
    <row r="2227" spans="4:8" ht="11.25" customHeight="1">
      <c r="D2227" s="163"/>
      <c r="E2227" s="163"/>
      <c r="F2227" s="163"/>
      <c r="G2227" s="163"/>
      <c r="H2227" s="163"/>
    </row>
    <row r="2228" spans="4:8" ht="11.25" customHeight="1">
      <c r="D2228" s="163"/>
      <c r="E2228" s="163"/>
      <c r="F2228" s="163"/>
      <c r="G2228" s="163"/>
      <c r="H2228" s="163"/>
    </row>
    <row r="2229" spans="4:8" ht="11.25" customHeight="1">
      <c r="D2229" s="163"/>
      <c r="E2229" s="163"/>
      <c r="F2229" s="163"/>
      <c r="G2229" s="163"/>
      <c r="H2229" s="163"/>
    </row>
    <row r="2230" spans="4:8" ht="11.25" customHeight="1">
      <c r="D2230" s="163"/>
      <c r="E2230" s="163"/>
      <c r="F2230" s="163"/>
      <c r="G2230" s="163"/>
      <c r="H2230" s="163"/>
    </row>
    <row r="2231" spans="4:8" ht="11.25" customHeight="1">
      <c r="D2231" s="163"/>
      <c r="E2231" s="163"/>
      <c r="F2231" s="163"/>
      <c r="G2231" s="163"/>
      <c r="H2231" s="163"/>
    </row>
    <row r="2232" spans="4:8" ht="11.25" customHeight="1">
      <c r="D2232" s="163"/>
      <c r="E2232" s="163"/>
      <c r="F2232" s="163"/>
      <c r="G2232" s="163"/>
      <c r="H2232" s="163"/>
    </row>
    <row r="2233" spans="4:8" ht="11.25" customHeight="1">
      <c r="D2233" s="163"/>
      <c r="E2233" s="163"/>
      <c r="F2233" s="163"/>
      <c r="G2233" s="163"/>
      <c r="H2233" s="163"/>
    </row>
    <row r="2234" spans="4:8" ht="11.25" customHeight="1">
      <c r="D2234" s="163"/>
      <c r="E2234" s="163"/>
      <c r="F2234" s="163"/>
      <c r="G2234" s="163"/>
      <c r="H2234" s="163"/>
    </row>
    <row r="2235" spans="4:8" ht="11.25" customHeight="1">
      <c r="D2235" s="163"/>
      <c r="E2235" s="163"/>
      <c r="F2235" s="163"/>
      <c r="G2235" s="163"/>
      <c r="H2235" s="163"/>
    </row>
    <row r="2236" spans="4:8" ht="11.25" customHeight="1">
      <c r="D2236" s="163"/>
      <c r="E2236" s="163"/>
      <c r="F2236" s="163"/>
      <c r="G2236" s="163"/>
      <c r="H2236" s="163"/>
    </row>
    <row r="2237" spans="4:8" ht="11.25" customHeight="1">
      <c r="D2237" s="163"/>
      <c r="E2237" s="163"/>
      <c r="F2237" s="163"/>
      <c r="G2237" s="163"/>
      <c r="H2237" s="163"/>
    </row>
    <row r="2238" spans="4:8" ht="11.25" customHeight="1">
      <c r="D2238" s="163"/>
      <c r="E2238" s="163"/>
      <c r="F2238" s="163"/>
      <c r="G2238" s="163"/>
      <c r="H2238" s="163"/>
    </row>
    <row r="2239" spans="4:8" ht="11.25" customHeight="1">
      <c r="D2239" s="163"/>
      <c r="E2239" s="163"/>
      <c r="F2239" s="163"/>
      <c r="G2239" s="163"/>
      <c r="H2239" s="163"/>
    </row>
    <row r="2240" spans="4:8" ht="11.25" customHeight="1">
      <c r="D2240" s="163"/>
      <c r="E2240" s="163"/>
      <c r="F2240" s="163"/>
      <c r="G2240" s="163"/>
      <c r="H2240" s="163"/>
    </row>
    <row r="2241" spans="4:8" ht="11.25" customHeight="1">
      <c r="D2241" s="163"/>
      <c r="E2241" s="163"/>
      <c r="F2241" s="163"/>
      <c r="G2241" s="163"/>
      <c r="H2241" s="163"/>
    </row>
    <row r="2242" spans="4:8" ht="11.25" customHeight="1">
      <c r="D2242" s="163"/>
      <c r="E2242" s="163"/>
      <c r="F2242" s="163"/>
      <c r="G2242" s="163"/>
      <c r="H2242" s="163"/>
    </row>
    <row r="2243" spans="4:8" ht="11.25" customHeight="1">
      <c r="D2243" s="163"/>
      <c r="E2243" s="163"/>
      <c r="F2243" s="163"/>
      <c r="G2243" s="163"/>
      <c r="H2243" s="163"/>
    </row>
    <row r="2244" spans="4:8" ht="11.25" customHeight="1">
      <c r="D2244" s="163"/>
      <c r="E2244" s="163"/>
      <c r="F2244" s="163"/>
      <c r="G2244" s="163"/>
      <c r="H2244" s="163"/>
    </row>
    <row r="2245" spans="4:8" ht="11.25" customHeight="1">
      <c r="D2245" s="163"/>
      <c r="E2245" s="163"/>
      <c r="F2245" s="163"/>
      <c r="G2245" s="163"/>
      <c r="H2245" s="163"/>
    </row>
    <row r="2246" spans="4:8" ht="11.25" customHeight="1">
      <c r="D2246" s="163"/>
      <c r="E2246" s="163"/>
      <c r="F2246" s="163"/>
      <c r="G2246" s="163"/>
      <c r="H2246" s="163"/>
    </row>
    <row r="2247" spans="4:8" ht="11.25" customHeight="1">
      <c r="D2247" s="163"/>
      <c r="E2247" s="163"/>
      <c r="F2247" s="163"/>
      <c r="G2247" s="163"/>
      <c r="H2247" s="163"/>
    </row>
    <row r="2248" spans="4:8" ht="11.25" customHeight="1">
      <c r="D2248" s="163"/>
      <c r="E2248" s="163"/>
      <c r="F2248" s="163"/>
      <c r="G2248" s="163"/>
      <c r="H2248" s="163"/>
    </row>
    <row r="2249" spans="4:8" ht="11.25" customHeight="1">
      <c r="D2249" s="163"/>
      <c r="E2249" s="163"/>
      <c r="F2249" s="163"/>
      <c r="G2249" s="163"/>
      <c r="H2249" s="163"/>
    </row>
    <row r="2250" spans="4:8" ht="11.25" customHeight="1">
      <c r="D2250" s="163"/>
      <c r="E2250" s="163"/>
      <c r="F2250" s="163"/>
      <c r="G2250" s="163"/>
      <c r="H2250" s="163"/>
    </row>
    <row r="2251" spans="4:8" ht="11.25" customHeight="1">
      <c r="D2251" s="163"/>
      <c r="E2251" s="163"/>
      <c r="F2251" s="163"/>
      <c r="G2251" s="163"/>
      <c r="H2251" s="163"/>
    </row>
    <row r="2252" spans="4:8" ht="11.25" customHeight="1">
      <c r="D2252" s="163"/>
      <c r="E2252" s="163"/>
      <c r="F2252" s="163"/>
      <c r="G2252" s="163"/>
      <c r="H2252" s="163"/>
    </row>
    <row r="2253" spans="4:8" ht="11.25" customHeight="1">
      <c r="D2253" s="163"/>
      <c r="E2253" s="163"/>
      <c r="F2253" s="163"/>
      <c r="G2253" s="163"/>
      <c r="H2253" s="163"/>
    </row>
    <row r="2254" spans="4:8" ht="11.25" customHeight="1">
      <c r="D2254" s="163"/>
      <c r="E2254" s="163"/>
      <c r="F2254" s="163"/>
      <c r="G2254" s="163"/>
      <c r="H2254" s="163"/>
    </row>
    <row r="2255" spans="4:8" ht="11.25" customHeight="1">
      <c r="D2255" s="163"/>
      <c r="E2255" s="163"/>
      <c r="F2255" s="163"/>
      <c r="G2255" s="163"/>
      <c r="H2255" s="163"/>
    </row>
    <row r="2256" spans="4:8" ht="11.25" customHeight="1">
      <c r="D2256" s="163"/>
      <c r="E2256" s="163"/>
      <c r="F2256" s="163"/>
      <c r="G2256" s="163"/>
      <c r="H2256" s="163"/>
    </row>
    <row r="2257" spans="4:8" ht="11.25" customHeight="1">
      <c r="D2257" s="163"/>
      <c r="E2257" s="163"/>
      <c r="F2257" s="163"/>
      <c r="G2257" s="163"/>
      <c r="H2257" s="163"/>
    </row>
    <row r="2258" spans="4:8" ht="11.25" customHeight="1">
      <c r="D2258" s="163"/>
      <c r="E2258" s="163"/>
      <c r="F2258" s="163"/>
      <c r="G2258" s="163"/>
      <c r="H2258" s="163"/>
    </row>
    <row r="2259" spans="4:8" ht="11.25" customHeight="1">
      <c r="D2259" s="163"/>
      <c r="E2259" s="163"/>
      <c r="F2259" s="163"/>
      <c r="G2259" s="163"/>
      <c r="H2259" s="163"/>
    </row>
    <row r="2260" spans="4:8" ht="11.25" customHeight="1">
      <c r="D2260" s="163"/>
      <c r="E2260" s="163"/>
      <c r="F2260" s="163"/>
      <c r="G2260" s="163"/>
      <c r="H2260" s="163"/>
    </row>
    <row r="2261" spans="4:8" ht="11.25" customHeight="1">
      <c r="D2261" s="163"/>
      <c r="E2261" s="163"/>
      <c r="F2261" s="163"/>
      <c r="G2261" s="163"/>
      <c r="H2261" s="163"/>
    </row>
    <row r="2262" spans="4:8" ht="11.25" customHeight="1">
      <c r="D2262" s="163"/>
      <c r="E2262" s="163"/>
      <c r="F2262" s="163"/>
      <c r="G2262" s="163"/>
      <c r="H2262" s="163"/>
    </row>
    <row r="2263" spans="4:8" ht="11.25" customHeight="1">
      <c r="D2263" s="163"/>
      <c r="E2263" s="163"/>
      <c r="F2263" s="163"/>
      <c r="G2263" s="163"/>
      <c r="H2263" s="163"/>
    </row>
    <row r="2264" spans="4:8" ht="11.25" customHeight="1">
      <c r="D2264" s="163"/>
      <c r="E2264" s="163"/>
      <c r="F2264" s="163"/>
      <c r="G2264" s="163"/>
      <c r="H2264" s="163"/>
    </row>
    <row r="2265" spans="4:8" ht="11.25" customHeight="1">
      <c r="D2265" s="163"/>
      <c r="E2265" s="163"/>
      <c r="F2265" s="163"/>
      <c r="G2265" s="163"/>
      <c r="H2265" s="163"/>
    </row>
    <row r="2266" spans="4:8" ht="11.25" customHeight="1">
      <c r="D2266" s="163"/>
      <c r="E2266" s="163"/>
      <c r="F2266" s="163"/>
      <c r="G2266" s="163"/>
      <c r="H2266" s="163"/>
    </row>
    <row r="2267" spans="4:8" ht="11.25" customHeight="1">
      <c r="D2267" s="163"/>
      <c r="E2267" s="163"/>
      <c r="F2267" s="163"/>
      <c r="G2267" s="163"/>
      <c r="H2267" s="163"/>
    </row>
    <row r="2268" spans="4:8" ht="11.25" customHeight="1">
      <c r="D2268" s="163"/>
      <c r="E2268" s="163"/>
      <c r="F2268" s="163"/>
      <c r="G2268" s="163"/>
      <c r="H2268" s="163"/>
    </row>
    <row r="2269" spans="4:8" ht="11.25" customHeight="1">
      <c r="D2269" s="163"/>
      <c r="E2269" s="163"/>
      <c r="F2269" s="163"/>
      <c r="G2269" s="163"/>
      <c r="H2269" s="163"/>
    </row>
    <row r="2270" spans="4:8" ht="11.25" customHeight="1">
      <c r="D2270" s="163"/>
      <c r="E2270" s="163"/>
      <c r="F2270" s="163"/>
      <c r="G2270" s="163"/>
      <c r="H2270" s="163"/>
    </row>
    <row r="2271" spans="4:8" ht="11.25" customHeight="1">
      <c r="D2271" s="163"/>
      <c r="E2271" s="163"/>
      <c r="F2271" s="163"/>
      <c r="G2271" s="163"/>
      <c r="H2271" s="163"/>
    </row>
    <row r="2272" spans="4:8" ht="11.25" customHeight="1">
      <c r="D2272" s="163"/>
      <c r="E2272" s="163"/>
      <c r="F2272" s="163"/>
      <c r="G2272" s="163"/>
      <c r="H2272" s="163"/>
    </row>
    <row r="2273" spans="4:8" ht="11.25" customHeight="1">
      <c r="D2273" s="163"/>
      <c r="E2273" s="163"/>
      <c r="F2273" s="163"/>
      <c r="G2273" s="163"/>
      <c r="H2273" s="163"/>
    </row>
    <row r="2274" spans="4:8" ht="11.25" customHeight="1">
      <c r="D2274" s="163"/>
      <c r="E2274" s="163"/>
      <c r="F2274" s="163"/>
      <c r="G2274" s="163"/>
      <c r="H2274" s="163"/>
    </row>
    <row r="2275" spans="4:8" ht="11.25" customHeight="1">
      <c r="D2275" s="163"/>
      <c r="E2275" s="163"/>
      <c r="F2275" s="163"/>
      <c r="G2275" s="163"/>
      <c r="H2275" s="163"/>
    </row>
    <row r="2276" spans="4:8" ht="11.25" customHeight="1">
      <c r="D2276" s="163"/>
      <c r="E2276" s="163"/>
      <c r="F2276" s="163"/>
      <c r="G2276" s="163"/>
      <c r="H2276" s="163"/>
    </row>
    <row r="2277" spans="4:8" ht="11.25" customHeight="1">
      <c r="D2277" s="163"/>
      <c r="E2277" s="163"/>
      <c r="F2277" s="163"/>
      <c r="G2277" s="163"/>
      <c r="H2277" s="163"/>
    </row>
    <row r="2278" spans="4:8" ht="11.25" customHeight="1">
      <c r="D2278" s="163"/>
      <c r="E2278" s="163"/>
      <c r="F2278" s="163"/>
      <c r="G2278" s="163"/>
      <c r="H2278" s="163"/>
    </row>
    <row r="2279" spans="4:8" ht="11.25" customHeight="1">
      <c r="D2279" s="163"/>
      <c r="E2279" s="163"/>
      <c r="F2279" s="163"/>
      <c r="G2279" s="163"/>
      <c r="H2279" s="163"/>
    </row>
    <row r="2280" spans="4:8" ht="11.25" customHeight="1">
      <c r="D2280" s="163"/>
      <c r="E2280" s="163"/>
      <c r="F2280" s="163"/>
      <c r="G2280" s="163"/>
      <c r="H2280" s="163"/>
    </row>
    <row r="2281" spans="4:8" ht="11.25" customHeight="1">
      <c r="D2281" s="163"/>
      <c r="E2281" s="163"/>
      <c r="F2281" s="163"/>
      <c r="G2281" s="163"/>
      <c r="H2281" s="163"/>
    </row>
    <row r="2282" spans="4:8" ht="11.25" customHeight="1">
      <c r="D2282" s="163"/>
      <c r="E2282" s="163"/>
      <c r="F2282" s="163"/>
      <c r="G2282" s="163"/>
      <c r="H2282" s="163"/>
    </row>
    <row r="2283" spans="4:8" ht="11.25" customHeight="1">
      <c r="D2283" s="163"/>
      <c r="E2283" s="163"/>
      <c r="F2283" s="163"/>
      <c r="G2283" s="163"/>
      <c r="H2283" s="163"/>
    </row>
    <row r="2284" spans="4:8" ht="11.25" customHeight="1">
      <c r="D2284" s="163"/>
      <c r="E2284" s="163"/>
      <c r="F2284" s="163"/>
      <c r="G2284" s="163"/>
      <c r="H2284" s="163"/>
    </row>
    <row r="2285" spans="4:8" ht="11.25" customHeight="1">
      <c r="D2285" s="163"/>
      <c r="E2285" s="163"/>
      <c r="F2285" s="163"/>
      <c r="G2285" s="163"/>
      <c r="H2285" s="163"/>
    </row>
    <row r="2286" spans="4:8" ht="11.25" customHeight="1">
      <c r="D2286" s="163"/>
      <c r="E2286" s="163"/>
      <c r="F2286" s="163"/>
      <c r="G2286" s="163"/>
      <c r="H2286" s="163"/>
    </row>
    <row r="2287" spans="4:8" ht="11.25" customHeight="1">
      <c r="D2287" s="163"/>
      <c r="E2287" s="163"/>
      <c r="F2287" s="163"/>
      <c r="G2287" s="163"/>
      <c r="H2287" s="163"/>
    </row>
    <row r="2288" spans="4:8" ht="11.25" customHeight="1">
      <c r="D2288" s="163"/>
      <c r="E2288" s="163"/>
      <c r="F2288" s="163"/>
      <c r="G2288" s="163"/>
      <c r="H2288" s="163"/>
    </row>
    <row r="2289" spans="4:8" ht="11.25" customHeight="1">
      <c r="D2289" s="163"/>
      <c r="E2289" s="163"/>
      <c r="F2289" s="163"/>
      <c r="G2289" s="163"/>
      <c r="H2289" s="163"/>
    </row>
    <row r="2290" spans="4:8" ht="11.25" customHeight="1">
      <c r="D2290" s="163"/>
      <c r="E2290" s="163"/>
      <c r="F2290" s="163"/>
      <c r="G2290" s="163"/>
      <c r="H2290" s="163"/>
    </row>
    <row r="2291" spans="4:8" ht="11.25" customHeight="1">
      <c r="D2291" s="163"/>
      <c r="E2291" s="163"/>
      <c r="F2291" s="163"/>
      <c r="G2291" s="163"/>
      <c r="H2291" s="163"/>
    </row>
    <row r="2292" spans="4:8" ht="11.25" customHeight="1">
      <c r="D2292" s="163"/>
      <c r="E2292" s="163"/>
      <c r="F2292" s="163"/>
      <c r="G2292" s="163"/>
      <c r="H2292" s="163"/>
    </row>
    <row r="2293" spans="4:8" ht="11.25" customHeight="1">
      <c r="D2293" s="163"/>
      <c r="E2293" s="163"/>
      <c r="F2293" s="163"/>
      <c r="G2293" s="163"/>
      <c r="H2293" s="163"/>
    </row>
    <row r="2294" spans="4:8" ht="11.25" customHeight="1">
      <c r="D2294" s="163"/>
      <c r="E2294" s="163"/>
      <c r="F2294" s="163"/>
      <c r="G2294" s="163"/>
      <c r="H2294" s="163"/>
    </row>
    <row r="2295" spans="4:8" ht="11.25" customHeight="1">
      <c r="D2295" s="163"/>
      <c r="E2295" s="163"/>
      <c r="F2295" s="163"/>
      <c r="G2295" s="163"/>
      <c r="H2295" s="163"/>
    </row>
    <row r="2296" spans="4:8" ht="11.25" customHeight="1">
      <c r="D2296" s="163"/>
      <c r="E2296" s="163"/>
      <c r="F2296" s="163"/>
      <c r="G2296" s="163"/>
      <c r="H2296" s="163"/>
    </row>
    <row r="2297" spans="4:8" ht="11.25" customHeight="1">
      <c r="D2297" s="163"/>
      <c r="E2297" s="163"/>
      <c r="F2297" s="163"/>
      <c r="G2297" s="163"/>
      <c r="H2297" s="163"/>
    </row>
    <row r="2298" spans="4:8" ht="11.25" customHeight="1">
      <c r="D2298" s="163"/>
      <c r="E2298" s="163"/>
      <c r="F2298" s="163"/>
      <c r="G2298" s="163"/>
      <c r="H2298" s="163"/>
    </row>
    <row r="2299" spans="4:8" ht="11.25" customHeight="1">
      <c r="D2299" s="163"/>
      <c r="E2299" s="163"/>
      <c r="F2299" s="163"/>
      <c r="G2299" s="163"/>
      <c r="H2299" s="163"/>
    </row>
    <row r="2300" spans="4:8" ht="11.25" customHeight="1">
      <c r="D2300" s="163"/>
      <c r="E2300" s="163"/>
      <c r="F2300" s="163"/>
      <c r="G2300" s="163"/>
      <c r="H2300" s="163"/>
    </row>
    <row r="2301" spans="4:8" ht="11.25" customHeight="1">
      <c r="D2301" s="163"/>
      <c r="E2301" s="163"/>
      <c r="F2301" s="163"/>
      <c r="G2301" s="163"/>
      <c r="H2301" s="163"/>
    </row>
    <row r="2302" spans="4:8" ht="11.25" customHeight="1">
      <c r="D2302" s="163"/>
      <c r="E2302" s="163"/>
      <c r="F2302" s="163"/>
      <c r="G2302" s="163"/>
      <c r="H2302" s="163"/>
    </row>
    <row r="2303" spans="4:8" ht="11.25" customHeight="1">
      <c r="D2303" s="163"/>
      <c r="E2303" s="163"/>
      <c r="F2303" s="163"/>
      <c r="G2303" s="163"/>
      <c r="H2303" s="163"/>
    </row>
    <row r="2304" spans="4:8" ht="11.25" customHeight="1">
      <c r="D2304" s="163"/>
      <c r="E2304" s="163"/>
      <c r="F2304" s="163"/>
      <c r="G2304" s="163"/>
      <c r="H2304" s="163"/>
    </row>
    <row r="2305" spans="4:8" ht="11.25" customHeight="1">
      <c r="D2305" s="163"/>
      <c r="E2305" s="163"/>
      <c r="F2305" s="163"/>
      <c r="G2305" s="163"/>
      <c r="H2305" s="163"/>
    </row>
    <row r="2306" spans="4:8" ht="11.25" customHeight="1">
      <c r="D2306" s="163"/>
      <c r="E2306" s="163"/>
      <c r="F2306" s="163"/>
      <c r="G2306" s="163"/>
      <c r="H2306" s="163"/>
    </row>
    <row r="2307" spans="4:8" ht="11.25" customHeight="1">
      <c r="D2307" s="163"/>
      <c r="E2307" s="163"/>
      <c r="F2307" s="163"/>
      <c r="G2307" s="163"/>
      <c r="H2307" s="163"/>
    </row>
    <row r="2308" spans="4:8" ht="11.25" customHeight="1">
      <c r="D2308" s="163"/>
      <c r="E2308" s="163"/>
      <c r="F2308" s="163"/>
      <c r="G2308" s="163"/>
      <c r="H2308" s="163"/>
    </row>
    <row r="2309" spans="4:8" ht="11.25" customHeight="1">
      <c r="D2309" s="163"/>
      <c r="E2309" s="163"/>
      <c r="F2309" s="163"/>
      <c r="G2309" s="163"/>
      <c r="H2309" s="163"/>
    </row>
    <row r="2310" spans="4:8" ht="11.25" customHeight="1">
      <c r="D2310" s="163"/>
      <c r="E2310" s="163"/>
      <c r="F2310" s="163"/>
      <c r="G2310" s="163"/>
      <c r="H2310" s="163"/>
    </row>
    <row r="2311" spans="4:8" ht="11.25" customHeight="1">
      <c r="D2311" s="163"/>
      <c r="E2311" s="163"/>
      <c r="F2311" s="163"/>
      <c r="G2311" s="163"/>
      <c r="H2311" s="163"/>
    </row>
    <row r="2312" spans="4:8" ht="11.25" customHeight="1">
      <c r="D2312" s="163"/>
      <c r="E2312" s="163"/>
      <c r="F2312" s="163"/>
      <c r="G2312" s="163"/>
      <c r="H2312" s="163"/>
    </row>
    <row r="2313" spans="4:8" ht="11.25" customHeight="1">
      <c r="D2313" s="163"/>
      <c r="E2313" s="163"/>
      <c r="F2313" s="163"/>
      <c r="G2313" s="163"/>
      <c r="H2313" s="163"/>
    </row>
    <row r="2314" spans="4:8" ht="11.25" customHeight="1">
      <c r="D2314" s="163"/>
      <c r="E2314" s="163"/>
      <c r="F2314" s="163"/>
      <c r="G2314" s="163"/>
      <c r="H2314" s="163"/>
    </row>
    <row r="2315" spans="4:8" ht="11.25" customHeight="1">
      <c r="D2315" s="163"/>
      <c r="E2315" s="163"/>
      <c r="F2315" s="163"/>
      <c r="G2315" s="163"/>
      <c r="H2315" s="163"/>
    </row>
    <row r="2316" spans="4:8" ht="11.25" customHeight="1">
      <c r="D2316" s="163"/>
      <c r="E2316" s="163"/>
      <c r="F2316" s="163"/>
      <c r="G2316" s="163"/>
      <c r="H2316" s="163"/>
    </row>
    <row r="2317" spans="4:8" ht="11.25" customHeight="1">
      <c r="D2317" s="163"/>
      <c r="E2317" s="163"/>
      <c r="F2317" s="163"/>
      <c r="G2317" s="163"/>
      <c r="H2317" s="163"/>
    </row>
    <row r="2318" spans="4:8" ht="11.25" customHeight="1">
      <c r="D2318" s="163"/>
      <c r="E2318" s="163"/>
      <c r="F2318" s="163"/>
      <c r="G2318" s="163"/>
      <c r="H2318" s="163"/>
    </row>
    <row r="2319" spans="4:8" ht="11.25" customHeight="1">
      <c r="D2319" s="163"/>
      <c r="E2319" s="163"/>
      <c r="F2319" s="163"/>
      <c r="G2319" s="163"/>
      <c r="H2319" s="163"/>
    </row>
    <row r="2320" spans="4:8" ht="11.25" customHeight="1">
      <c r="D2320" s="163"/>
      <c r="E2320" s="163"/>
      <c r="F2320" s="163"/>
      <c r="G2320" s="163"/>
      <c r="H2320" s="163"/>
    </row>
    <row r="2321" spans="4:8" ht="11.25" customHeight="1">
      <c r="D2321" s="163"/>
      <c r="E2321" s="163"/>
      <c r="F2321" s="163"/>
      <c r="G2321" s="163"/>
      <c r="H2321" s="163"/>
    </row>
    <row r="2322" spans="4:8" ht="11.25" customHeight="1">
      <c r="D2322" s="163"/>
      <c r="E2322" s="163"/>
      <c r="F2322" s="163"/>
      <c r="G2322" s="163"/>
      <c r="H2322" s="163"/>
    </row>
    <row r="2323" spans="4:8" ht="11.25" customHeight="1">
      <c r="D2323" s="163"/>
      <c r="E2323" s="163"/>
      <c r="F2323" s="163"/>
      <c r="G2323" s="163"/>
      <c r="H2323" s="163"/>
    </row>
    <row r="2324" spans="4:8" ht="11.25" customHeight="1">
      <c r="D2324" s="163"/>
      <c r="E2324" s="163"/>
      <c r="F2324" s="163"/>
      <c r="G2324" s="163"/>
      <c r="H2324" s="163"/>
    </row>
    <row r="2325" spans="4:8" ht="11.25" customHeight="1">
      <c r="D2325" s="163"/>
      <c r="E2325" s="163"/>
      <c r="F2325" s="163"/>
      <c r="G2325" s="163"/>
      <c r="H2325" s="163"/>
    </row>
    <row r="2326" spans="4:8" ht="11.25" customHeight="1">
      <c r="D2326" s="163"/>
      <c r="E2326" s="163"/>
      <c r="F2326" s="163"/>
      <c r="G2326" s="163"/>
      <c r="H2326" s="163"/>
    </row>
    <row r="2327" spans="4:8" ht="11.25" customHeight="1">
      <c r="D2327" s="163"/>
      <c r="E2327" s="163"/>
      <c r="F2327" s="163"/>
      <c r="G2327" s="163"/>
      <c r="H2327" s="163"/>
    </row>
    <row r="2328" spans="4:8" ht="11.25" customHeight="1">
      <c r="D2328" s="163"/>
      <c r="E2328" s="163"/>
      <c r="F2328" s="163"/>
      <c r="G2328" s="163"/>
      <c r="H2328" s="163"/>
    </row>
    <row r="2329" spans="4:8" ht="11.25" customHeight="1">
      <c r="D2329" s="163"/>
      <c r="E2329" s="163"/>
      <c r="F2329" s="163"/>
      <c r="G2329" s="163"/>
      <c r="H2329" s="163"/>
    </row>
    <row r="2330" spans="4:8" ht="11.25" customHeight="1">
      <c r="D2330" s="163"/>
      <c r="E2330" s="163"/>
      <c r="F2330" s="163"/>
      <c r="G2330" s="163"/>
      <c r="H2330" s="163"/>
    </row>
    <row r="2331" spans="4:8" ht="11.25" customHeight="1">
      <c r="D2331" s="163"/>
      <c r="E2331" s="163"/>
      <c r="F2331" s="163"/>
      <c r="G2331" s="163"/>
      <c r="H2331" s="163"/>
    </row>
    <row r="2332" spans="4:8" ht="11.25" customHeight="1">
      <c r="D2332" s="163"/>
      <c r="E2332" s="163"/>
      <c r="F2332" s="163"/>
      <c r="G2332" s="163"/>
      <c r="H2332" s="163"/>
    </row>
    <row r="2333" spans="4:8" ht="11.25" customHeight="1">
      <c r="D2333" s="163"/>
      <c r="E2333" s="163"/>
      <c r="F2333" s="163"/>
      <c r="G2333" s="163"/>
      <c r="H2333" s="163"/>
    </row>
    <row r="2334" spans="4:8" ht="11.25" customHeight="1">
      <c r="D2334" s="163"/>
      <c r="E2334" s="163"/>
      <c r="F2334" s="163"/>
      <c r="G2334" s="163"/>
      <c r="H2334" s="163"/>
    </row>
    <row r="2335" spans="4:8" ht="11.25" customHeight="1">
      <c r="D2335" s="163"/>
      <c r="E2335" s="163"/>
      <c r="F2335" s="163"/>
      <c r="G2335" s="163"/>
      <c r="H2335" s="163"/>
    </row>
    <row r="2336" spans="4:8" ht="11.25" customHeight="1">
      <c r="D2336" s="163"/>
      <c r="E2336" s="163"/>
      <c r="F2336" s="163"/>
      <c r="G2336" s="163"/>
      <c r="H2336" s="163"/>
    </row>
    <row r="2337" spans="4:8" ht="11.25" customHeight="1">
      <c r="D2337" s="163"/>
      <c r="E2337" s="163"/>
      <c r="F2337" s="163"/>
      <c r="G2337" s="163"/>
      <c r="H2337" s="163"/>
    </row>
    <row r="2338" spans="4:8" ht="11.25" customHeight="1">
      <c r="D2338" s="163"/>
      <c r="E2338" s="163"/>
      <c r="F2338" s="163"/>
      <c r="G2338" s="163"/>
      <c r="H2338" s="163"/>
    </row>
    <row r="2339" spans="4:8" ht="11.25" customHeight="1">
      <c r="D2339" s="163"/>
      <c r="E2339" s="163"/>
      <c r="F2339" s="163"/>
      <c r="G2339" s="163"/>
      <c r="H2339" s="163"/>
    </row>
    <row r="2340" spans="4:8" ht="11.25" customHeight="1">
      <c r="D2340" s="163"/>
      <c r="E2340" s="163"/>
      <c r="F2340" s="163"/>
      <c r="G2340" s="163"/>
      <c r="H2340" s="163"/>
    </row>
    <row r="2341" spans="4:8" ht="11.25" customHeight="1">
      <c r="D2341" s="163"/>
      <c r="E2341" s="163"/>
      <c r="F2341" s="163"/>
      <c r="G2341" s="163"/>
      <c r="H2341" s="163"/>
    </row>
    <row r="2342" spans="4:8" ht="11.25" customHeight="1">
      <c r="D2342" s="163"/>
      <c r="E2342" s="163"/>
      <c r="F2342" s="163"/>
      <c r="G2342" s="163"/>
      <c r="H2342" s="163"/>
    </row>
    <row r="2343" spans="4:8" ht="11.25" customHeight="1">
      <c r="D2343" s="163"/>
      <c r="E2343" s="163"/>
      <c r="F2343" s="163"/>
      <c r="G2343" s="163"/>
      <c r="H2343" s="163"/>
    </row>
    <row r="2344" spans="4:8" ht="11.25" customHeight="1">
      <c r="D2344" s="163"/>
      <c r="E2344" s="163"/>
      <c r="F2344" s="163"/>
      <c r="G2344" s="163"/>
      <c r="H2344" s="163"/>
    </row>
    <row r="2345" spans="4:8" ht="11.25" customHeight="1">
      <c r="D2345" s="163"/>
      <c r="E2345" s="163"/>
      <c r="F2345" s="163"/>
      <c r="G2345" s="163"/>
      <c r="H2345" s="163"/>
    </row>
    <row r="2346" spans="4:8" ht="11.25" customHeight="1">
      <c r="D2346" s="163"/>
      <c r="E2346" s="163"/>
      <c r="F2346" s="163"/>
      <c r="G2346" s="163"/>
      <c r="H2346" s="163"/>
    </row>
    <row r="2347" spans="4:8" ht="11.25" customHeight="1">
      <c r="D2347" s="163"/>
      <c r="E2347" s="163"/>
      <c r="F2347" s="163"/>
      <c r="G2347" s="163"/>
      <c r="H2347" s="163"/>
    </row>
    <row r="2348" spans="4:8" ht="11.25" customHeight="1">
      <c r="D2348" s="163"/>
      <c r="E2348" s="163"/>
      <c r="F2348" s="163"/>
      <c r="G2348" s="163"/>
      <c r="H2348" s="163"/>
    </row>
    <row r="2349" spans="4:8" ht="11.25" customHeight="1">
      <c r="D2349" s="163"/>
      <c r="E2349" s="163"/>
      <c r="F2349" s="163"/>
      <c r="G2349" s="163"/>
      <c r="H2349" s="163"/>
    </row>
    <row r="2350" spans="4:8" ht="11.25" customHeight="1">
      <c r="D2350" s="163"/>
      <c r="E2350" s="163"/>
      <c r="F2350" s="163"/>
      <c r="G2350" s="163"/>
      <c r="H2350" s="163"/>
    </row>
    <row r="2351" spans="4:8" ht="11.25" customHeight="1">
      <c r="D2351" s="163"/>
      <c r="E2351" s="163"/>
      <c r="F2351" s="163"/>
      <c r="G2351" s="163"/>
      <c r="H2351" s="163"/>
    </row>
    <row r="2352" spans="4:8" ht="11.25" customHeight="1">
      <c r="D2352" s="163"/>
      <c r="E2352" s="163"/>
      <c r="F2352" s="163"/>
      <c r="G2352" s="163"/>
      <c r="H2352" s="163"/>
    </row>
    <row r="2353" spans="4:8" ht="11.25" customHeight="1">
      <c r="D2353" s="163"/>
      <c r="E2353" s="163"/>
      <c r="F2353" s="163"/>
      <c r="G2353" s="163"/>
      <c r="H2353" s="163"/>
    </row>
    <row r="2354" spans="4:8" ht="11.25" customHeight="1">
      <c r="D2354" s="163"/>
      <c r="E2354" s="163"/>
      <c r="F2354" s="163"/>
      <c r="G2354" s="163"/>
      <c r="H2354" s="163"/>
    </row>
    <row r="2355" spans="4:8" ht="11.25" customHeight="1">
      <c r="D2355" s="163"/>
      <c r="E2355" s="163"/>
      <c r="F2355" s="163"/>
      <c r="G2355" s="163"/>
      <c r="H2355" s="163"/>
    </row>
    <row r="2356" spans="4:8" ht="11.25" customHeight="1">
      <c r="D2356" s="163"/>
      <c r="E2356" s="163"/>
      <c r="F2356" s="163"/>
      <c r="G2356" s="163"/>
      <c r="H2356" s="163"/>
    </row>
    <row r="2357" spans="4:8" ht="11.25" customHeight="1">
      <c r="D2357" s="163"/>
      <c r="E2357" s="163"/>
      <c r="F2357" s="163"/>
      <c r="G2357" s="163"/>
      <c r="H2357" s="163"/>
    </row>
    <row r="2358" spans="4:8" ht="11.25" customHeight="1">
      <c r="D2358" s="163"/>
      <c r="E2358" s="163"/>
      <c r="F2358" s="163"/>
      <c r="G2358" s="163"/>
      <c r="H2358" s="163"/>
    </row>
    <row r="2359" spans="4:8" ht="11.25" customHeight="1">
      <c r="D2359" s="163"/>
      <c r="E2359" s="163"/>
      <c r="F2359" s="163"/>
      <c r="G2359" s="163"/>
      <c r="H2359" s="163"/>
    </row>
    <row r="2360" spans="4:8" ht="11.25" customHeight="1">
      <c r="D2360" s="163"/>
      <c r="E2360" s="163"/>
      <c r="F2360" s="163"/>
      <c r="G2360" s="163"/>
      <c r="H2360" s="163"/>
    </row>
    <row r="2361" spans="4:8" ht="11.25" customHeight="1">
      <c r="D2361" s="163"/>
      <c r="E2361" s="163"/>
      <c r="F2361" s="163"/>
      <c r="G2361" s="163"/>
      <c r="H2361" s="163"/>
    </row>
    <row r="2362" spans="4:8" ht="11.25" customHeight="1">
      <c r="D2362" s="163"/>
      <c r="E2362" s="163"/>
      <c r="F2362" s="163"/>
      <c r="G2362" s="163"/>
      <c r="H2362" s="163"/>
    </row>
    <row r="2363" spans="4:8" ht="11.25" customHeight="1">
      <c r="D2363" s="163"/>
      <c r="E2363" s="163"/>
      <c r="F2363" s="163"/>
      <c r="G2363" s="163"/>
      <c r="H2363" s="163"/>
    </row>
    <row r="2364" spans="4:8" ht="11.25" customHeight="1">
      <c r="D2364" s="163"/>
      <c r="E2364" s="163"/>
      <c r="F2364" s="163"/>
      <c r="G2364" s="163"/>
      <c r="H2364" s="163"/>
    </row>
    <row r="2365" spans="4:8" ht="11.25" customHeight="1">
      <c r="D2365" s="163"/>
      <c r="E2365" s="163"/>
      <c r="F2365" s="163"/>
      <c r="G2365" s="163"/>
      <c r="H2365" s="163"/>
    </row>
    <row r="2366" spans="4:8" ht="11.25" customHeight="1">
      <c r="D2366" s="163"/>
      <c r="E2366" s="163"/>
      <c r="F2366" s="163"/>
      <c r="G2366" s="163"/>
      <c r="H2366" s="163"/>
    </row>
    <row r="2367" spans="4:8" ht="11.25" customHeight="1">
      <c r="D2367" s="163"/>
      <c r="E2367" s="163"/>
      <c r="F2367" s="163"/>
      <c r="G2367" s="163"/>
      <c r="H2367" s="163"/>
    </row>
    <row r="2368" spans="4:8" ht="11.25" customHeight="1">
      <c r="D2368" s="163"/>
      <c r="E2368" s="163"/>
      <c r="F2368" s="163"/>
      <c r="G2368" s="163"/>
      <c r="H2368" s="163"/>
    </row>
    <row r="2369" spans="4:8" ht="11.25" customHeight="1">
      <c r="D2369" s="163"/>
      <c r="E2369" s="163"/>
      <c r="F2369" s="163"/>
      <c r="G2369" s="163"/>
      <c r="H2369" s="163"/>
    </row>
    <row r="2370" spans="4:8" ht="11.25" customHeight="1">
      <c r="D2370" s="163"/>
      <c r="E2370" s="163"/>
      <c r="F2370" s="163"/>
      <c r="G2370" s="163"/>
      <c r="H2370" s="163"/>
    </row>
    <row r="2371" spans="4:8" ht="11.25" customHeight="1">
      <c r="D2371" s="163"/>
      <c r="E2371" s="163"/>
      <c r="F2371" s="163"/>
      <c r="G2371" s="163"/>
      <c r="H2371" s="163"/>
    </row>
    <row r="2372" spans="4:8" ht="11.25" customHeight="1">
      <c r="D2372" s="163"/>
      <c r="E2372" s="163"/>
      <c r="F2372" s="163"/>
      <c r="G2372" s="163"/>
      <c r="H2372" s="163"/>
    </row>
    <row r="2373" spans="4:8" ht="11.25" customHeight="1">
      <c r="D2373" s="163"/>
      <c r="E2373" s="163"/>
      <c r="F2373" s="163"/>
      <c r="G2373" s="163"/>
      <c r="H2373" s="163"/>
    </row>
    <row r="2374" spans="4:8" ht="11.25" customHeight="1">
      <c r="D2374" s="163"/>
      <c r="E2374" s="163"/>
      <c r="F2374" s="163"/>
      <c r="G2374" s="163"/>
      <c r="H2374" s="163"/>
    </row>
    <row r="2375" spans="4:8" ht="11.25" customHeight="1">
      <c r="D2375" s="163"/>
      <c r="E2375" s="163"/>
      <c r="F2375" s="163"/>
      <c r="G2375" s="163"/>
      <c r="H2375" s="163"/>
    </row>
    <row r="2376" spans="4:8" ht="11.25" customHeight="1">
      <c r="D2376" s="163"/>
      <c r="E2376" s="163"/>
      <c r="F2376" s="163"/>
      <c r="G2376" s="163"/>
      <c r="H2376" s="163"/>
    </row>
    <row r="2377" spans="4:8" ht="11.25" customHeight="1">
      <c r="D2377" s="163"/>
      <c r="E2377" s="163"/>
      <c r="F2377" s="163"/>
      <c r="G2377" s="163"/>
      <c r="H2377" s="163"/>
    </row>
    <row r="2378" spans="4:8" ht="11.25" customHeight="1">
      <c r="D2378" s="163"/>
      <c r="E2378" s="163"/>
      <c r="F2378" s="163"/>
      <c r="G2378" s="163"/>
      <c r="H2378" s="163"/>
    </row>
    <row r="2379" spans="4:8" ht="11.25" customHeight="1">
      <c r="D2379" s="163"/>
      <c r="E2379" s="163"/>
      <c r="F2379" s="163"/>
      <c r="G2379" s="163"/>
      <c r="H2379" s="163"/>
    </row>
    <row r="2380" spans="4:8" ht="11.25" customHeight="1">
      <c r="D2380" s="163"/>
      <c r="E2380" s="163"/>
      <c r="F2380" s="163"/>
      <c r="G2380" s="163"/>
      <c r="H2380" s="163"/>
    </row>
    <row r="2381" spans="4:8" ht="11.25" customHeight="1">
      <c r="D2381" s="163"/>
      <c r="E2381" s="163"/>
      <c r="F2381" s="163"/>
      <c r="G2381" s="163"/>
      <c r="H2381" s="163"/>
    </row>
    <row r="2382" spans="4:8" ht="11.25" customHeight="1">
      <c r="D2382" s="163"/>
      <c r="E2382" s="163"/>
      <c r="F2382" s="163"/>
      <c r="G2382" s="163"/>
      <c r="H2382" s="163"/>
    </row>
    <row r="2383" spans="4:8" ht="11.25" customHeight="1">
      <c r="D2383" s="163"/>
      <c r="E2383" s="163"/>
      <c r="F2383" s="163"/>
      <c r="G2383" s="163"/>
      <c r="H2383" s="163"/>
    </row>
    <row r="2384" spans="4:8" ht="11.25" customHeight="1">
      <c r="D2384" s="163"/>
      <c r="E2384" s="163"/>
      <c r="F2384" s="163"/>
      <c r="G2384" s="163"/>
      <c r="H2384" s="163"/>
    </row>
    <row r="2385" spans="4:8" ht="11.25" customHeight="1">
      <c r="D2385" s="163"/>
      <c r="E2385" s="163"/>
      <c r="F2385" s="163"/>
      <c r="G2385" s="163"/>
      <c r="H2385" s="163"/>
    </row>
    <row r="2386" spans="4:8" ht="11.25" customHeight="1">
      <c r="D2386" s="163"/>
      <c r="E2386" s="163"/>
      <c r="F2386" s="163"/>
      <c r="G2386" s="163"/>
      <c r="H2386" s="163"/>
    </row>
    <row r="2387" spans="4:8" ht="11.25" customHeight="1">
      <c r="D2387" s="163"/>
      <c r="E2387" s="163"/>
      <c r="F2387" s="163"/>
      <c r="G2387" s="163"/>
      <c r="H2387" s="163"/>
    </row>
    <row r="2388" spans="4:8" ht="11.25" customHeight="1">
      <c r="D2388" s="163"/>
      <c r="E2388" s="163"/>
      <c r="F2388" s="163"/>
      <c r="G2388" s="163"/>
      <c r="H2388" s="163"/>
    </row>
    <row r="2389" spans="4:8" ht="11.25" customHeight="1">
      <c r="D2389" s="163"/>
      <c r="E2389" s="163"/>
      <c r="F2389" s="163"/>
      <c r="G2389" s="163"/>
      <c r="H2389" s="163"/>
    </row>
    <row r="2390" spans="4:8" ht="11.25" customHeight="1">
      <c r="D2390" s="163"/>
      <c r="E2390" s="163"/>
      <c r="F2390" s="163"/>
      <c r="G2390" s="163"/>
      <c r="H2390" s="163"/>
    </row>
    <row r="2391" spans="4:8" ht="11.25" customHeight="1">
      <c r="D2391" s="163"/>
      <c r="E2391" s="163"/>
      <c r="F2391" s="163"/>
      <c r="G2391" s="163"/>
      <c r="H2391" s="163"/>
    </row>
    <row r="2392" spans="4:8" ht="11.25" customHeight="1">
      <c r="D2392" s="163"/>
      <c r="E2392" s="163"/>
      <c r="F2392" s="163"/>
      <c r="G2392" s="163"/>
      <c r="H2392" s="163"/>
    </row>
    <row r="2393" spans="4:8" ht="11.25" customHeight="1">
      <c r="D2393" s="163"/>
      <c r="E2393" s="163"/>
      <c r="F2393" s="163"/>
      <c r="G2393" s="163"/>
      <c r="H2393" s="163"/>
    </row>
    <row r="2394" spans="4:8" ht="11.25" customHeight="1">
      <c r="D2394" s="163"/>
      <c r="E2394" s="163"/>
      <c r="F2394" s="163"/>
      <c r="G2394" s="163"/>
      <c r="H2394" s="163"/>
    </row>
    <row r="2395" spans="4:8" ht="11.25" customHeight="1">
      <c r="D2395" s="163"/>
      <c r="E2395" s="163"/>
      <c r="F2395" s="163"/>
      <c r="G2395" s="163"/>
      <c r="H2395" s="163"/>
    </row>
    <row r="2396" spans="4:8" ht="11.25" customHeight="1">
      <c r="D2396" s="163"/>
      <c r="E2396" s="163"/>
      <c r="F2396" s="163"/>
      <c r="G2396" s="163"/>
      <c r="H2396" s="163"/>
    </row>
    <row r="2397" spans="4:8" ht="11.25" customHeight="1">
      <c r="D2397" s="163"/>
      <c r="E2397" s="163"/>
      <c r="F2397" s="163"/>
      <c r="G2397" s="163"/>
      <c r="H2397" s="163"/>
    </row>
    <row r="2398" spans="4:8" ht="11.25" customHeight="1">
      <c r="D2398" s="163"/>
      <c r="E2398" s="163"/>
      <c r="F2398" s="163"/>
      <c r="G2398" s="163"/>
      <c r="H2398" s="163"/>
    </row>
    <row r="2399" spans="4:8" ht="11.25" customHeight="1">
      <c r="D2399" s="163"/>
      <c r="E2399" s="163"/>
      <c r="F2399" s="163"/>
      <c r="G2399" s="163"/>
      <c r="H2399" s="163"/>
    </row>
    <row r="2400" spans="4:8" ht="11.25" customHeight="1">
      <c r="D2400" s="163"/>
      <c r="E2400" s="163"/>
      <c r="F2400" s="163"/>
      <c r="G2400" s="163"/>
      <c r="H2400" s="163"/>
    </row>
    <row r="2401" spans="4:8" ht="11.25" customHeight="1">
      <c r="D2401" s="163"/>
      <c r="E2401" s="163"/>
      <c r="F2401" s="163"/>
      <c r="G2401" s="163"/>
      <c r="H2401" s="163"/>
    </row>
    <row r="2402" spans="4:8" ht="11.25" customHeight="1">
      <c r="D2402" s="163"/>
      <c r="E2402" s="163"/>
      <c r="F2402" s="163"/>
      <c r="G2402" s="163"/>
      <c r="H2402" s="163"/>
    </row>
    <row r="2403" spans="4:8" ht="11.25" customHeight="1">
      <c r="D2403" s="163"/>
      <c r="E2403" s="163"/>
      <c r="F2403" s="163"/>
      <c r="G2403" s="163"/>
      <c r="H2403" s="163"/>
    </row>
    <row r="2404" spans="4:8" ht="11.25" customHeight="1">
      <c r="D2404" s="163"/>
      <c r="E2404" s="163"/>
      <c r="F2404" s="163"/>
      <c r="G2404" s="163"/>
      <c r="H2404" s="163"/>
    </row>
    <row r="2405" spans="4:8" ht="11.25" customHeight="1">
      <c r="D2405" s="163"/>
      <c r="E2405" s="163"/>
      <c r="F2405" s="163"/>
      <c r="G2405" s="163"/>
      <c r="H2405" s="163"/>
    </row>
    <row r="2406" spans="4:8" ht="11.25" customHeight="1">
      <c r="D2406" s="163"/>
      <c r="E2406" s="163"/>
      <c r="F2406" s="163"/>
      <c r="G2406" s="163"/>
      <c r="H2406" s="163"/>
    </row>
    <row r="2407" spans="4:8" ht="11.25" customHeight="1">
      <c r="D2407" s="163"/>
      <c r="E2407" s="163"/>
      <c r="F2407" s="163"/>
      <c r="G2407" s="163"/>
      <c r="H2407" s="163"/>
    </row>
    <row r="2408" spans="4:8" ht="11.25" customHeight="1">
      <c r="D2408" s="163"/>
      <c r="E2408" s="163"/>
      <c r="F2408" s="163"/>
      <c r="G2408" s="163"/>
      <c r="H2408" s="163"/>
    </row>
    <row r="2409" spans="4:8" ht="11.25" customHeight="1">
      <c r="D2409" s="163"/>
      <c r="E2409" s="163"/>
      <c r="F2409" s="163"/>
      <c r="G2409" s="163"/>
      <c r="H2409" s="163"/>
    </row>
    <row r="2410" spans="4:8" ht="11.25" customHeight="1">
      <c r="D2410" s="163"/>
      <c r="E2410" s="163"/>
      <c r="F2410" s="163"/>
      <c r="G2410" s="163"/>
      <c r="H2410" s="163"/>
    </row>
    <row r="2411" spans="4:8" ht="11.25" customHeight="1">
      <c r="D2411" s="163"/>
      <c r="E2411" s="163"/>
      <c r="F2411" s="163"/>
      <c r="G2411" s="163"/>
      <c r="H2411" s="163"/>
    </row>
    <row r="2412" spans="4:8" ht="11.25" customHeight="1">
      <c r="D2412" s="163"/>
      <c r="E2412" s="163"/>
      <c r="F2412" s="163"/>
      <c r="G2412" s="163"/>
      <c r="H2412" s="163"/>
    </row>
    <row r="2413" spans="4:8" ht="11.25" customHeight="1">
      <c r="D2413" s="163"/>
      <c r="E2413" s="163"/>
      <c r="F2413" s="163"/>
      <c r="G2413" s="163"/>
      <c r="H2413" s="163"/>
    </row>
    <row r="2414" spans="4:8" ht="11.25" customHeight="1">
      <c r="D2414" s="163"/>
      <c r="E2414" s="163"/>
      <c r="F2414" s="163"/>
      <c r="G2414" s="163"/>
      <c r="H2414" s="163"/>
    </row>
    <row r="2415" spans="4:8" ht="11.25" customHeight="1">
      <c r="D2415" s="163"/>
      <c r="E2415" s="163"/>
      <c r="F2415" s="163"/>
      <c r="G2415" s="163"/>
      <c r="H2415" s="163"/>
    </row>
    <row r="2416" spans="4:8" ht="11.25" customHeight="1">
      <c r="D2416" s="163"/>
      <c r="E2416" s="163"/>
      <c r="F2416" s="163"/>
      <c r="G2416" s="163"/>
      <c r="H2416" s="163"/>
    </row>
    <row r="2417" spans="4:8" ht="11.25" customHeight="1">
      <c r="D2417" s="163"/>
      <c r="E2417" s="163"/>
      <c r="F2417" s="163"/>
      <c r="G2417" s="163"/>
      <c r="H2417" s="163"/>
    </row>
    <row r="2418" spans="4:8" ht="11.25" customHeight="1">
      <c r="D2418" s="163"/>
      <c r="E2418" s="163"/>
      <c r="F2418" s="163"/>
      <c r="G2418" s="163"/>
      <c r="H2418" s="163"/>
    </row>
    <row r="2419" spans="4:8" ht="11.25" customHeight="1">
      <c r="D2419" s="163"/>
      <c r="E2419" s="163"/>
      <c r="F2419" s="163"/>
      <c r="G2419" s="163"/>
      <c r="H2419" s="163"/>
    </row>
    <row r="2420" spans="4:8" ht="11.25" customHeight="1">
      <c r="D2420" s="163"/>
      <c r="E2420" s="163"/>
      <c r="F2420" s="163"/>
      <c r="G2420" s="163"/>
      <c r="H2420" s="163"/>
    </row>
    <row r="2421" spans="4:8" ht="11.25" customHeight="1">
      <c r="D2421" s="163"/>
      <c r="E2421" s="163"/>
      <c r="F2421" s="163"/>
      <c r="G2421" s="163"/>
      <c r="H2421" s="163"/>
    </row>
    <row r="2422" spans="4:8" ht="11.25" customHeight="1">
      <c r="D2422" s="163"/>
      <c r="E2422" s="163"/>
      <c r="F2422" s="163"/>
      <c r="G2422" s="163"/>
      <c r="H2422" s="163"/>
    </row>
    <row r="2423" spans="4:8" ht="11.25" customHeight="1">
      <c r="D2423" s="163"/>
      <c r="E2423" s="163"/>
      <c r="F2423" s="163"/>
      <c r="G2423" s="163"/>
      <c r="H2423" s="163"/>
    </row>
    <row r="2424" spans="4:8" ht="11.25" customHeight="1">
      <c r="D2424" s="163"/>
      <c r="E2424" s="163"/>
      <c r="F2424" s="163"/>
      <c r="G2424" s="163"/>
      <c r="H2424" s="163"/>
    </row>
    <row r="2425" spans="4:8" ht="11.25" customHeight="1">
      <c r="D2425" s="163"/>
      <c r="E2425" s="163"/>
      <c r="F2425" s="163"/>
      <c r="G2425" s="163"/>
      <c r="H2425" s="163"/>
    </row>
    <row r="2426" spans="4:8" ht="11.25" customHeight="1">
      <c r="D2426" s="163"/>
      <c r="E2426" s="163"/>
      <c r="F2426" s="163"/>
      <c r="G2426" s="163"/>
      <c r="H2426" s="163"/>
    </row>
    <row r="2427" spans="4:8" ht="11.25" customHeight="1">
      <c r="D2427" s="163"/>
      <c r="E2427" s="163"/>
      <c r="F2427" s="163"/>
      <c r="G2427" s="163"/>
      <c r="H2427" s="163"/>
    </row>
    <row r="2428" spans="4:8" ht="11.25" customHeight="1">
      <c r="D2428" s="163"/>
      <c r="E2428" s="163"/>
      <c r="F2428" s="163"/>
      <c r="G2428" s="163"/>
      <c r="H2428" s="163"/>
    </row>
    <row r="2429" spans="4:8" ht="11.25" customHeight="1">
      <c r="D2429" s="163"/>
      <c r="E2429" s="163"/>
      <c r="F2429" s="163"/>
      <c r="G2429" s="163"/>
      <c r="H2429" s="163"/>
    </row>
    <row r="2430" spans="4:8" ht="11.25" customHeight="1">
      <c r="D2430" s="163"/>
      <c r="E2430" s="163"/>
      <c r="F2430" s="163"/>
      <c r="G2430" s="163"/>
      <c r="H2430" s="163"/>
    </row>
    <row r="2431" spans="4:8" ht="11.25" customHeight="1">
      <c r="D2431" s="163"/>
      <c r="E2431" s="163"/>
      <c r="F2431" s="163"/>
      <c r="G2431" s="163"/>
      <c r="H2431" s="163"/>
    </row>
    <row r="2432" spans="4:8" ht="11.25" customHeight="1">
      <c r="D2432" s="163"/>
      <c r="E2432" s="163"/>
      <c r="F2432" s="163"/>
      <c r="G2432" s="163"/>
      <c r="H2432" s="163"/>
    </row>
    <row r="2433" spans="4:8" ht="11.25" customHeight="1">
      <c r="D2433" s="163"/>
      <c r="E2433" s="163"/>
      <c r="F2433" s="163"/>
      <c r="G2433" s="163"/>
      <c r="H2433" s="163"/>
    </row>
    <row r="2434" spans="4:8" ht="11.25" customHeight="1">
      <c r="D2434" s="163"/>
      <c r="E2434" s="163"/>
      <c r="F2434" s="163"/>
      <c r="G2434" s="163"/>
      <c r="H2434" s="163"/>
    </row>
    <row r="2435" spans="4:8" ht="11.25" customHeight="1">
      <c r="D2435" s="163"/>
      <c r="E2435" s="163"/>
      <c r="F2435" s="163"/>
      <c r="G2435" s="163"/>
      <c r="H2435" s="163"/>
    </row>
    <row r="2436" spans="4:8" ht="11.25" customHeight="1">
      <c r="D2436" s="163"/>
      <c r="E2436" s="163"/>
      <c r="F2436" s="163"/>
      <c r="G2436" s="163"/>
      <c r="H2436" s="163"/>
    </row>
    <row r="2437" spans="4:8" ht="11.25" customHeight="1">
      <c r="D2437" s="163"/>
      <c r="E2437" s="163"/>
      <c r="F2437" s="163"/>
      <c r="G2437" s="163"/>
      <c r="H2437" s="163"/>
    </row>
    <row r="2438" spans="4:8" ht="11.25" customHeight="1">
      <c r="D2438" s="163"/>
      <c r="E2438" s="163"/>
      <c r="F2438" s="163"/>
      <c r="G2438" s="163"/>
      <c r="H2438" s="163"/>
    </row>
    <row r="2439" spans="4:8" ht="11.25" customHeight="1">
      <c r="D2439" s="163"/>
      <c r="E2439" s="163"/>
      <c r="F2439" s="163"/>
      <c r="G2439" s="163"/>
      <c r="H2439" s="163"/>
    </row>
    <row r="2440" spans="4:8" ht="11.25" customHeight="1">
      <c r="D2440" s="163"/>
      <c r="E2440" s="163"/>
      <c r="F2440" s="163"/>
      <c r="G2440" s="163"/>
      <c r="H2440" s="163"/>
    </row>
    <row r="2441" spans="4:8" ht="11.25" customHeight="1">
      <c r="D2441" s="163"/>
      <c r="E2441" s="163"/>
      <c r="F2441" s="163"/>
      <c r="G2441" s="163"/>
      <c r="H2441" s="163"/>
    </row>
    <row r="2442" spans="4:8" ht="11.25" customHeight="1">
      <c r="D2442" s="163"/>
      <c r="E2442" s="163"/>
      <c r="F2442" s="163"/>
      <c r="G2442" s="163"/>
      <c r="H2442" s="163"/>
    </row>
    <row r="2443" spans="4:8" ht="11.25" customHeight="1">
      <c r="D2443" s="163"/>
      <c r="E2443" s="163"/>
      <c r="F2443" s="163"/>
      <c r="G2443" s="163"/>
      <c r="H2443" s="163"/>
    </row>
    <row r="2444" spans="4:8" ht="11.25" customHeight="1">
      <c r="D2444" s="163"/>
      <c r="E2444" s="163"/>
      <c r="F2444" s="163"/>
      <c r="G2444" s="163"/>
      <c r="H2444" s="163"/>
    </row>
    <row r="2445" spans="4:8" ht="11.25" customHeight="1">
      <c r="D2445" s="163"/>
      <c r="E2445" s="163"/>
      <c r="F2445" s="163"/>
      <c r="G2445" s="163"/>
      <c r="H2445" s="163"/>
    </row>
    <row r="2446" spans="4:8" ht="11.25" customHeight="1">
      <c r="D2446" s="163"/>
      <c r="E2446" s="163"/>
      <c r="F2446" s="163"/>
      <c r="G2446" s="163"/>
      <c r="H2446" s="163"/>
    </row>
    <row r="2447" spans="4:8" ht="11.25" customHeight="1">
      <c r="D2447" s="163"/>
      <c r="E2447" s="163"/>
      <c r="F2447" s="163"/>
      <c r="G2447" s="163"/>
      <c r="H2447" s="163"/>
    </row>
    <row r="2448" spans="4:8" ht="11.25" customHeight="1">
      <c r="D2448" s="163"/>
      <c r="E2448" s="163"/>
      <c r="F2448" s="163"/>
      <c r="G2448" s="163"/>
      <c r="H2448" s="163"/>
    </row>
    <row r="2449" spans="4:8" ht="11.25" customHeight="1">
      <c r="D2449" s="163"/>
      <c r="E2449" s="163"/>
      <c r="F2449" s="163"/>
      <c r="G2449" s="163"/>
      <c r="H2449" s="163"/>
    </row>
    <row r="2450" spans="4:8" ht="11.25" customHeight="1">
      <c r="D2450" s="163"/>
      <c r="E2450" s="163"/>
      <c r="F2450" s="163"/>
      <c r="G2450" s="163"/>
      <c r="H2450" s="163"/>
    </row>
    <row r="2451" spans="4:8" ht="11.25" customHeight="1">
      <c r="D2451" s="163"/>
      <c r="E2451" s="163"/>
      <c r="F2451" s="163"/>
      <c r="G2451" s="163"/>
      <c r="H2451" s="163"/>
    </row>
    <row r="2452" spans="4:8" ht="11.25" customHeight="1">
      <c r="D2452" s="163"/>
      <c r="E2452" s="163"/>
      <c r="F2452" s="163"/>
      <c r="G2452" s="163"/>
      <c r="H2452" s="163"/>
    </row>
    <row r="2453" spans="4:8" ht="11.25" customHeight="1">
      <c r="D2453" s="163"/>
      <c r="E2453" s="163"/>
      <c r="F2453" s="163"/>
      <c r="G2453" s="163"/>
      <c r="H2453" s="163"/>
    </row>
    <row r="2454" spans="4:8" ht="11.25" customHeight="1">
      <c r="D2454" s="163"/>
      <c r="E2454" s="163"/>
      <c r="F2454" s="163"/>
      <c r="G2454" s="163"/>
      <c r="H2454" s="163"/>
    </row>
    <row r="2455" spans="4:8" ht="11.25" customHeight="1">
      <c r="D2455" s="163"/>
      <c r="E2455" s="163"/>
      <c r="F2455" s="163"/>
      <c r="G2455" s="163"/>
      <c r="H2455" s="163"/>
    </row>
    <row r="2456" spans="4:8" ht="11.25" customHeight="1">
      <c r="D2456" s="163"/>
      <c r="E2456" s="163"/>
      <c r="F2456" s="163"/>
      <c r="G2456" s="163"/>
      <c r="H2456" s="163"/>
    </row>
    <row r="2457" spans="4:8" ht="11.25" customHeight="1">
      <c r="D2457" s="163"/>
      <c r="E2457" s="163"/>
      <c r="F2457" s="163"/>
      <c r="G2457" s="163"/>
      <c r="H2457" s="163"/>
    </row>
    <row r="2458" spans="4:8" ht="11.25" customHeight="1">
      <c r="D2458" s="163"/>
      <c r="E2458" s="163"/>
      <c r="F2458" s="163"/>
      <c r="G2458" s="163"/>
      <c r="H2458" s="163"/>
    </row>
    <row r="2459" spans="4:8" ht="11.25" customHeight="1">
      <c r="D2459" s="163"/>
      <c r="E2459" s="163"/>
      <c r="F2459" s="163"/>
      <c r="G2459" s="163"/>
      <c r="H2459" s="163"/>
    </row>
    <row r="2460" spans="4:8" ht="11.25" customHeight="1">
      <c r="D2460" s="163"/>
      <c r="E2460" s="163"/>
      <c r="F2460" s="163"/>
      <c r="G2460" s="163"/>
      <c r="H2460" s="163"/>
    </row>
    <row r="2461" spans="4:8" ht="11.25" customHeight="1">
      <c r="D2461" s="163"/>
      <c r="E2461" s="163"/>
      <c r="F2461" s="163"/>
      <c r="G2461" s="163"/>
      <c r="H2461" s="163"/>
    </row>
    <row r="2462" spans="4:8" ht="11.25" customHeight="1">
      <c r="D2462" s="163"/>
      <c r="E2462" s="163"/>
      <c r="F2462" s="163"/>
      <c r="G2462" s="163"/>
      <c r="H2462" s="163"/>
    </row>
    <row r="2463" spans="4:8" ht="11.25" customHeight="1">
      <c r="D2463" s="163"/>
      <c r="E2463" s="163"/>
      <c r="F2463" s="163"/>
      <c r="G2463" s="163"/>
      <c r="H2463" s="163"/>
    </row>
    <row r="2464" spans="4:8" ht="11.25" customHeight="1">
      <c r="D2464" s="163"/>
      <c r="E2464" s="163"/>
      <c r="F2464" s="163"/>
      <c r="G2464" s="163"/>
      <c r="H2464" s="163"/>
    </row>
    <row r="2465" spans="4:8" ht="11.25" customHeight="1">
      <c r="D2465" s="163"/>
      <c r="E2465" s="163"/>
      <c r="F2465" s="163"/>
      <c r="G2465" s="163"/>
      <c r="H2465" s="163"/>
    </row>
    <row r="2466" spans="4:8" ht="11.25" customHeight="1">
      <c r="D2466" s="163"/>
      <c r="E2466" s="163"/>
      <c r="F2466" s="163"/>
      <c r="G2466" s="163"/>
      <c r="H2466" s="163"/>
    </row>
    <row r="2467" spans="4:8" ht="11.25" customHeight="1">
      <c r="D2467" s="163"/>
      <c r="E2467" s="163"/>
      <c r="F2467" s="163"/>
      <c r="G2467" s="163"/>
      <c r="H2467" s="163"/>
    </row>
    <row r="2468" spans="4:8" ht="11.25" customHeight="1">
      <c r="D2468" s="163"/>
      <c r="E2468" s="163"/>
      <c r="F2468" s="163"/>
      <c r="G2468" s="163"/>
      <c r="H2468" s="163"/>
    </row>
    <row r="2469" spans="4:8" ht="11.25" customHeight="1">
      <c r="D2469" s="163"/>
      <c r="E2469" s="163"/>
      <c r="F2469" s="163"/>
      <c r="G2469" s="163"/>
      <c r="H2469" s="163"/>
    </row>
    <row r="2470" spans="4:8" ht="11.25" customHeight="1">
      <c r="D2470" s="163"/>
      <c r="E2470" s="163"/>
      <c r="F2470" s="163"/>
      <c r="G2470" s="163"/>
      <c r="H2470" s="163"/>
    </row>
    <row r="2471" spans="4:8" ht="11.25" customHeight="1">
      <c r="D2471" s="163"/>
      <c r="E2471" s="163"/>
      <c r="F2471" s="163"/>
      <c r="G2471" s="163"/>
      <c r="H2471" s="163"/>
    </row>
    <row r="2472" spans="4:8" ht="11.25" customHeight="1">
      <c r="D2472" s="163"/>
      <c r="E2472" s="163"/>
      <c r="F2472" s="163"/>
      <c r="G2472" s="163"/>
      <c r="H2472" s="163"/>
    </row>
    <row r="2473" spans="4:8" ht="11.25" customHeight="1">
      <c r="D2473" s="163"/>
      <c r="E2473" s="163"/>
      <c r="F2473" s="163"/>
      <c r="G2473" s="163"/>
      <c r="H2473" s="163"/>
    </row>
    <row r="2474" spans="4:8" ht="11.25" customHeight="1">
      <c r="D2474" s="163"/>
      <c r="E2474" s="163"/>
      <c r="F2474" s="163"/>
      <c r="G2474" s="163"/>
      <c r="H2474" s="163"/>
    </row>
    <row r="2475" spans="4:8" ht="11.25" customHeight="1">
      <c r="D2475" s="163"/>
      <c r="E2475" s="163"/>
      <c r="F2475" s="163"/>
      <c r="G2475" s="163"/>
      <c r="H2475" s="163"/>
    </row>
    <row r="2476" spans="4:8" ht="11.25" customHeight="1">
      <c r="D2476" s="163"/>
      <c r="E2476" s="163"/>
      <c r="F2476" s="163"/>
      <c r="G2476" s="163"/>
      <c r="H2476" s="163"/>
    </row>
    <row r="2477" spans="4:8" ht="11.25" customHeight="1">
      <c r="D2477" s="163"/>
      <c r="E2477" s="163"/>
      <c r="F2477" s="163"/>
      <c r="G2477" s="163"/>
      <c r="H2477" s="163"/>
    </row>
    <row r="2478" spans="4:8" ht="11.25" customHeight="1">
      <c r="D2478" s="163"/>
      <c r="E2478" s="163"/>
      <c r="F2478" s="163"/>
      <c r="G2478" s="163"/>
      <c r="H2478" s="163"/>
    </row>
    <row r="2479" spans="4:8" ht="11.25" customHeight="1">
      <c r="D2479" s="163"/>
      <c r="E2479" s="163"/>
      <c r="F2479" s="163"/>
      <c r="G2479" s="163"/>
      <c r="H2479" s="163"/>
    </row>
    <row r="2480" spans="4:8" ht="11.25" customHeight="1">
      <c r="D2480" s="163"/>
      <c r="E2480" s="163"/>
      <c r="F2480" s="163"/>
      <c r="G2480" s="163"/>
      <c r="H2480" s="163"/>
    </row>
    <row r="2481" spans="4:8" ht="11.25" customHeight="1">
      <c r="D2481" s="163"/>
      <c r="E2481" s="163"/>
      <c r="F2481" s="163"/>
      <c r="G2481" s="163"/>
      <c r="H2481" s="163"/>
    </row>
    <row r="2482" spans="4:8" ht="11.25" customHeight="1">
      <c r="D2482" s="163"/>
      <c r="E2482" s="163"/>
      <c r="F2482" s="163"/>
      <c r="G2482" s="163"/>
      <c r="H2482" s="163"/>
    </row>
    <row r="2483" spans="4:8" ht="11.25" customHeight="1">
      <c r="D2483" s="163"/>
      <c r="E2483" s="163"/>
      <c r="F2483" s="163"/>
      <c r="G2483" s="163"/>
      <c r="H2483" s="163"/>
    </row>
    <row r="2484" spans="4:8" ht="11.25" customHeight="1">
      <c r="D2484" s="163"/>
      <c r="E2484" s="163"/>
      <c r="F2484" s="163"/>
      <c r="G2484" s="163"/>
      <c r="H2484" s="163"/>
    </row>
    <row r="2485" spans="4:8" ht="11.25" customHeight="1">
      <c r="D2485" s="163"/>
      <c r="E2485" s="163"/>
      <c r="F2485" s="163"/>
      <c r="G2485" s="163"/>
      <c r="H2485" s="163"/>
    </row>
    <row r="2486" spans="4:8" ht="11.25" customHeight="1">
      <c r="D2486" s="163"/>
      <c r="E2486" s="163"/>
      <c r="F2486" s="163"/>
      <c r="G2486" s="163"/>
      <c r="H2486" s="163"/>
    </row>
    <row r="2487" spans="4:8" ht="11.25" customHeight="1">
      <c r="D2487" s="163"/>
      <c r="E2487" s="163"/>
      <c r="F2487" s="163"/>
      <c r="G2487" s="163"/>
      <c r="H2487" s="163"/>
    </row>
    <row r="2488" spans="4:8" ht="11.25" customHeight="1">
      <c r="D2488" s="163"/>
      <c r="E2488" s="163"/>
      <c r="F2488" s="163"/>
      <c r="G2488" s="163"/>
      <c r="H2488" s="163"/>
    </row>
    <row r="2489" spans="4:8" ht="11.25" customHeight="1">
      <c r="D2489" s="163"/>
      <c r="E2489" s="163"/>
      <c r="F2489" s="163"/>
      <c r="G2489" s="163"/>
      <c r="H2489" s="163"/>
    </row>
    <row r="2490" spans="4:8" ht="11.25" customHeight="1">
      <c r="D2490" s="163"/>
      <c r="E2490" s="163"/>
      <c r="F2490" s="163"/>
      <c r="G2490" s="163"/>
      <c r="H2490" s="163"/>
    </row>
    <row r="2491" spans="4:8" ht="11.25" customHeight="1">
      <c r="D2491" s="163"/>
      <c r="E2491" s="163"/>
      <c r="F2491" s="163"/>
      <c r="G2491" s="163"/>
      <c r="H2491" s="163"/>
    </row>
    <row r="2492" spans="4:8" ht="11.25" customHeight="1">
      <c r="D2492" s="163"/>
      <c r="E2492" s="163"/>
      <c r="F2492" s="163"/>
      <c r="G2492" s="163"/>
      <c r="H2492" s="163"/>
    </row>
    <row r="2493" spans="4:8" ht="11.25" customHeight="1">
      <c r="D2493" s="163"/>
      <c r="E2493" s="163"/>
      <c r="F2493" s="163"/>
      <c r="G2493" s="163"/>
      <c r="H2493" s="163"/>
    </row>
    <row r="2494" spans="4:8" ht="11.25" customHeight="1">
      <c r="D2494" s="163"/>
      <c r="E2494" s="163"/>
      <c r="F2494" s="163"/>
      <c r="G2494" s="163"/>
      <c r="H2494" s="163"/>
    </row>
    <row r="2495" spans="4:8" ht="11.25" customHeight="1">
      <c r="D2495" s="163"/>
      <c r="E2495" s="163"/>
      <c r="F2495" s="163"/>
      <c r="G2495" s="163"/>
      <c r="H2495" s="163"/>
    </row>
    <row r="2496" spans="4:8" ht="11.25" customHeight="1">
      <c r="D2496" s="163"/>
      <c r="E2496" s="163"/>
      <c r="F2496" s="163"/>
      <c r="G2496" s="163"/>
      <c r="H2496" s="163"/>
    </row>
    <row r="2497" spans="4:8" ht="11.25" customHeight="1">
      <c r="D2497" s="163"/>
      <c r="E2497" s="163"/>
      <c r="F2497" s="163"/>
      <c r="G2497" s="163"/>
      <c r="H2497" s="163"/>
    </row>
    <row r="2498" spans="4:8" ht="11.25" customHeight="1">
      <c r="D2498" s="163"/>
      <c r="E2498" s="163"/>
      <c r="F2498" s="163"/>
      <c r="G2498" s="163"/>
      <c r="H2498" s="163"/>
    </row>
    <row r="2499" spans="4:8" ht="11.25" customHeight="1">
      <c r="D2499" s="163"/>
      <c r="E2499" s="163"/>
      <c r="F2499" s="163"/>
      <c r="G2499" s="163"/>
      <c r="H2499" s="163"/>
    </row>
    <row r="2500" spans="4:8" ht="11.25" customHeight="1">
      <c r="D2500" s="163"/>
      <c r="E2500" s="163"/>
      <c r="F2500" s="163"/>
      <c r="G2500" s="163"/>
      <c r="H2500" s="163"/>
    </row>
    <row r="2501" spans="4:8" ht="11.25" customHeight="1">
      <c r="D2501" s="163"/>
      <c r="E2501" s="163"/>
      <c r="F2501" s="163"/>
      <c r="G2501" s="163"/>
      <c r="H2501" s="163"/>
    </row>
    <row r="2502" spans="4:8" ht="11.25" customHeight="1">
      <c r="D2502" s="163"/>
      <c r="E2502" s="163"/>
      <c r="F2502" s="163"/>
      <c r="G2502" s="163"/>
      <c r="H2502" s="163"/>
    </row>
    <row r="2503" spans="4:8" ht="11.25" customHeight="1">
      <c r="D2503" s="163"/>
      <c r="E2503" s="163"/>
      <c r="F2503" s="163"/>
      <c r="G2503" s="163"/>
      <c r="H2503" s="163"/>
    </row>
    <row r="2504" spans="4:8" ht="11.25" customHeight="1">
      <c r="D2504" s="163"/>
      <c r="E2504" s="163"/>
      <c r="F2504" s="163"/>
      <c r="G2504" s="163"/>
      <c r="H2504" s="163"/>
    </row>
    <row r="2505" spans="4:8" ht="11.25" customHeight="1">
      <c r="D2505" s="163"/>
      <c r="E2505" s="163"/>
      <c r="F2505" s="163"/>
      <c r="G2505" s="163"/>
      <c r="H2505" s="163"/>
    </row>
    <row r="2506" spans="4:8" ht="11.25" customHeight="1">
      <c r="D2506" s="163"/>
      <c r="E2506" s="163"/>
      <c r="F2506" s="163"/>
      <c r="G2506" s="163"/>
      <c r="H2506" s="163"/>
    </row>
    <row r="2507" spans="4:8" ht="11.25" customHeight="1">
      <c r="D2507" s="163"/>
      <c r="E2507" s="163"/>
      <c r="F2507" s="163"/>
      <c r="G2507" s="163"/>
      <c r="H2507" s="163"/>
    </row>
    <row r="2508" spans="4:8" ht="11.25" customHeight="1">
      <c r="D2508" s="163"/>
      <c r="E2508" s="163"/>
      <c r="F2508" s="163"/>
      <c r="G2508" s="163"/>
      <c r="H2508" s="163"/>
    </row>
    <row r="2509" spans="4:8" ht="11.25" customHeight="1">
      <c r="D2509" s="163"/>
      <c r="E2509" s="163"/>
      <c r="F2509" s="163"/>
      <c r="G2509" s="163"/>
      <c r="H2509" s="163"/>
    </row>
    <row r="2510" spans="4:8" ht="11.25" customHeight="1">
      <c r="D2510" s="163"/>
      <c r="E2510" s="163"/>
      <c r="F2510" s="163"/>
      <c r="G2510" s="163"/>
      <c r="H2510" s="163"/>
    </row>
    <row r="2511" spans="4:8" ht="11.25" customHeight="1">
      <c r="D2511" s="163"/>
      <c r="E2511" s="163"/>
      <c r="F2511" s="163"/>
      <c r="G2511" s="163"/>
      <c r="H2511" s="163"/>
    </row>
    <row r="2512" spans="4:8" ht="11.25" customHeight="1">
      <c r="D2512" s="163"/>
      <c r="E2512" s="163"/>
      <c r="F2512" s="163"/>
      <c r="G2512" s="163"/>
      <c r="H2512" s="163"/>
    </row>
    <row r="2513" spans="4:8" ht="11.25" customHeight="1">
      <c r="D2513" s="163"/>
      <c r="E2513" s="163"/>
      <c r="F2513" s="163"/>
      <c r="G2513" s="163"/>
      <c r="H2513" s="163"/>
    </row>
    <row r="2514" spans="4:8" ht="11.25" customHeight="1">
      <c r="D2514" s="163"/>
      <c r="E2514" s="163"/>
      <c r="F2514" s="163"/>
      <c r="G2514" s="163"/>
      <c r="H2514" s="163"/>
    </row>
    <row r="2515" spans="4:8" ht="11.25" customHeight="1">
      <c r="D2515" s="163"/>
      <c r="E2515" s="163"/>
      <c r="F2515" s="163"/>
      <c r="G2515" s="163"/>
      <c r="H2515" s="163"/>
    </row>
    <row r="2516" spans="4:8" ht="11.25" customHeight="1">
      <c r="D2516" s="163"/>
      <c r="E2516" s="163"/>
      <c r="F2516" s="163"/>
      <c r="G2516" s="163"/>
      <c r="H2516" s="163"/>
    </row>
    <row r="2517" spans="4:8" ht="11.25" customHeight="1">
      <c r="D2517" s="163"/>
      <c r="E2517" s="163"/>
      <c r="F2517" s="163"/>
      <c r="G2517" s="163"/>
      <c r="H2517" s="163"/>
    </row>
    <row r="2518" spans="4:8" ht="11.25" customHeight="1">
      <c r="D2518" s="163"/>
      <c r="E2518" s="163"/>
      <c r="F2518" s="163"/>
      <c r="G2518" s="163"/>
      <c r="H2518" s="163"/>
    </row>
    <row r="2519" spans="4:8" ht="11.25" customHeight="1">
      <c r="D2519" s="163"/>
      <c r="E2519" s="163"/>
      <c r="F2519" s="163"/>
      <c r="G2519" s="163"/>
      <c r="H2519" s="163"/>
    </row>
    <row r="2520" spans="4:8" ht="11.25" customHeight="1">
      <c r="D2520" s="163"/>
      <c r="E2520" s="163"/>
      <c r="F2520" s="163"/>
      <c r="G2520" s="163"/>
      <c r="H2520" s="163"/>
    </row>
    <row r="2521" spans="4:8" ht="11.25" customHeight="1">
      <c r="D2521" s="163"/>
      <c r="E2521" s="163"/>
      <c r="F2521" s="163"/>
      <c r="G2521" s="163"/>
      <c r="H2521" s="163"/>
    </row>
    <row r="2522" spans="4:8" ht="11.25" customHeight="1">
      <c r="D2522" s="163"/>
      <c r="E2522" s="163"/>
      <c r="F2522" s="163"/>
      <c r="G2522" s="163"/>
      <c r="H2522" s="163"/>
    </row>
    <row r="2523" spans="4:8" ht="11.25" customHeight="1">
      <c r="D2523" s="163"/>
      <c r="E2523" s="163"/>
      <c r="F2523" s="163"/>
      <c r="G2523" s="163"/>
      <c r="H2523" s="163"/>
    </row>
    <row r="2524" spans="4:8" ht="11.25" customHeight="1">
      <c r="D2524" s="163"/>
      <c r="E2524" s="163"/>
      <c r="F2524" s="163"/>
      <c r="G2524" s="163"/>
      <c r="H2524" s="163"/>
    </row>
    <row r="2525" spans="4:8" ht="11.25" customHeight="1">
      <c r="D2525" s="163"/>
      <c r="E2525" s="163"/>
      <c r="F2525" s="163"/>
      <c r="G2525" s="163"/>
      <c r="H2525" s="163"/>
    </row>
    <row r="2526" spans="4:8" ht="11.25" customHeight="1">
      <c r="D2526" s="163"/>
      <c r="E2526" s="163"/>
      <c r="F2526" s="163"/>
      <c r="G2526" s="163"/>
      <c r="H2526" s="163"/>
    </row>
    <row r="2527" spans="4:8" ht="11.25" customHeight="1">
      <c r="D2527" s="163"/>
      <c r="E2527" s="163"/>
      <c r="F2527" s="163"/>
      <c r="G2527" s="163"/>
      <c r="H2527" s="163"/>
    </row>
    <row r="2528" spans="4:8" ht="11.25" customHeight="1">
      <c r="D2528" s="163"/>
      <c r="E2528" s="163"/>
      <c r="F2528" s="163"/>
      <c r="G2528" s="163"/>
      <c r="H2528" s="163"/>
    </row>
    <row r="2529" spans="4:8" ht="11.25" customHeight="1">
      <c r="D2529" s="163"/>
      <c r="E2529" s="163"/>
      <c r="F2529" s="163"/>
      <c r="G2529" s="163"/>
      <c r="H2529" s="163"/>
    </row>
    <row r="2530" spans="4:8" ht="11.25" customHeight="1">
      <c r="D2530" s="163"/>
      <c r="E2530" s="163"/>
      <c r="F2530" s="163"/>
      <c r="G2530" s="163"/>
      <c r="H2530" s="163"/>
    </row>
    <row r="2531" spans="4:8" ht="11.25" customHeight="1">
      <c r="D2531" s="163"/>
      <c r="E2531" s="163"/>
      <c r="F2531" s="163"/>
      <c r="G2531" s="163"/>
      <c r="H2531" s="163"/>
    </row>
    <row r="2532" spans="4:8" ht="11.25" customHeight="1">
      <c r="D2532" s="163"/>
      <c r="E2532" s="163"/>
      <c r="F2532" s="163"/>
      <c r="G2532" s="163"/>
      <c r="H2532" s="163"/>
    </row>
    <row r="2533" spans="4:8" ht="11.25" customHeight="1">
      <c r="D2533" s="163"/>
      <c r="E2533" s="163"/>
      <c r="F2533" s="163"/>
      <c r="G2533" s="163"/>
      <c r="H2533" s="163"/>
    </row>
    <row r="2534" spans="4:8" ht="11.25" customHeight="1">
      <c r="D2534" s="163"/>
      <c r="E2534" s="163"/>
      <c r="F2534" s="163"/>
      <c r="G2534" s="163"/>
      <c r="H2534" s="163"/>
    </row>
    <row r="2535" spans="4:8" ht="11.25" customHeight="1">
      <c r="D2535" s="163"/>
      <c r="E2535" s="163"/>
      <c r="F2535" s="163"/>
      <c r="G2535" s="163"/>
      <c r="H2535" s="163"/>
    </row>
    <row r="2536" spans="4:8" ht="11.25" customHeight="1">
      <c r="D2536" s="163"/>
      <c r="E2536" s="163"/>
      <c r="F2536" s="163"/>
      <c r="G2536" s="163"/>
      <c r="H2536" s="163"/>
    </row>
    <row r="2537" spans="4:8" ht="11.25" customHeight="1">
      <c r="D2537" s="163"/>
      <c r="E2537" s="163"/>
      <c r="F2537" s="163"/>
      <c r="G2537" s="163"/>
      <c r="H2537" s="163"/>
    </row>
    <row r="2538" spans="4:8" ht="11.25" customHeight="1">
      <c r="D2538" s="163"/>
      <c r="E2538" s="163"/>
      <c r="F2538" s="163"/>
      <c r="G2538" s="163"/>
      <c r="H2538" s="163"/>
    </row>
    <row r="2539" spans="4:8" ht="11.25" customHeight="1">
      <c r="D2539" s="163"/>
      <c r="E2539" s="163"/>
      <c r="F2539" s="163"/>
      <c r="G2539" s="163"/>
      <c r="H2539" s="163"/>
    </row>
    <row r="2540" spans="4:8" ht="11.25" customHeight="1">
      <c r="D2540" s="163"/>
      <c r="E2540" s="163"/>
      <c r="F2540" s="163"/>
      <c r="G2540" s="163"/>
      <c r="H2540" s="163"/>
    </row>
    <row r="2541" spans="4:8" ht="11.25" customHeight="1">
      <c r="D2541" s="163"/>
      <c r="E2541" s="163"/>
      <c r="F2541" s="163"/>
      <c r="G2541" s="163"/>
      <c r="H2541" s="163"/>
    </row>
    <row r="2542" spans="4:8" ht="11.25" customHeight="1">
      <c r="D2542" s="163"/>
      <c r="E2542" s="163"/>
      <c r="F2542" s="163"/>
      <c r="G2542" s="163"/>
      <c r="H2542" s="163"/>
    </row>
    <row r="2543" spans="4:8" ht="11.25" customHeight="1">
      <c r="D2543" s="163"/>
      <c r="E2543" s="163"/>
      <c r="F2543" s="163"/>
      <c r="G2543" s="163"/>
      <c r="H2543" s="163"/>
    </row>
    <row r="2544" spans="4:8" ht="11.25" customHeight="1">
      <c r="D2544" s="163"/>
      <c r="E2544" s="163"/>
      <c r="F2544" s="163"/>
      <c r="G2544" s="163"/>
      <c r="H2544" s="163"/>
    </row>
    <row r="2545" spans="4:8" ht="11.25" customHeight="1">
      <c r="D2545" s="163"/>
      <c r="E2545" s="163"/>
      <c r="F2545" s="163"/>
      <c r="G2545" s="163"/>
      <c r="H2545" s="163"/>
    </row>
    <row r="2546" spans="4:8" ht="11.25" customHeight="1">
      <c r="D2546" s="163"/>
      <c r="E2546" s="163"/>
      <c r="F2546" s="163"/>
      <c r="G2546" s="163"/>
      <c r="H2546" s="163"/>
    </row>
    <row r="2547" spans="4:8" ht="11.25" customHeight="1">
      <c r="D2547" s="163"/>
      <c r="E2547" s="163"/>
      <c r="F2547" s="163"/>
      <c r="G2547" s="163"/>
      <c r="H2547" s="163"/>
    </row>
    <row r="2548" spans="4:8" ht="11.25" customHeight="1">
      <c r="D2548" s="163"/>
      <c r="E2548" s="163"/>
      <c r="F2548" s="163"/>
      <c r="G2548" s="163"/>
      <c r="H2548" s="163"/>
    </row>
    <row r="2549" spans="4:8" ht="11.25" customHeight="1">
      <c r="D2549" s="163"/>
      <c r="E2549" s="163"/>
      <c r="F2549" s="163"/>
      <c r="G2549" s="163"/>
      <c r="H2549" s="163"/>
    </row>
    <row r="2550" spans="4:8" ht="11.25" customHeight="1">
      <c r="D2550" s="163"/>
      <c r="E2550" s="163"/>
      <c r="F2550" s="163"/>
      <c r="G2550" s="163"/>
      <c r="H2550" s="163"/>
    </row>
    <row r="2551" spans="4:8" ht="11.25" customHeight="1">
      <c r="D2551" s="163"/>
      <c r="E2551" s="163"/>
      <c r="F2551" s="163"/>
      <c r="G2551" s="163"/>
      <c r="H2551" s="163"/>
    </row>
    <row r="2552" spans="4:8" ht="11.25" customHeight="1">
      <c r="D2552" s="163"/>
      <c r="E2552" s="163"/>
      <c r="F2552" s="163"/>
      <c r="G2552" s="163"/>
      <c r="H2552" s="163"/>
    </row>
    <row r="2553" spans="4:8" ht="11.25" customHeight="1">
      <c r="D2553" s="163"/>
      <c r="E2553" s="163"/>
      <c r="F2553" s="163"/>
      <c r="G2553" s="163"/>
      <c r="H2553" s="163"/>
    </row>
    <row r="2554" spans="4:8" ht="11.25" customHeight="1">
      <c r="D2554" s="163"/>
      <c r="E2554" s="163"/>
      <c r="F2554" s="163"/>
      <c r="G2554" s="163"/>
      <c r="H2554" s="163"/>
    </row>
    <row r="2555" spans="4:8" ht="11.25" customHeight="1">
      <c r="D2555" s="163"/>
      <c r="E2555" s="163"/>
      <c r="F2555" s="163"/>
      <c r="G2555" s="163"/>
      <c r="H2555" s="163"/>
    </row>
    <row r="2556" spans="4:8" ht="11.25" customHeight="1">
      <c r="D2556" s="163"/>
      <c r="E2556" s="163"/>
      <c r="F2556" s="163"/>
      <c r="G2556" s="163"/>
      <c r="H2556" s="163"/>
    </row>
    <row r="2557" spans="4:8" ht="11.25" customHeight="1">
      <c r="D2557" s="163"/>
      <c r="E2557" s="163"/>
      <c r="F2557" s="163"/>
      <c r="G2557" s="163"/>
      <c r="H2557" s="163"/>
    </row>
    <row r="2558" spans="4:8" ht="11.25" customHeight="1">
      <c r="D2558" s="163"/>
      <c r="E2558" s="163"/>
      <c r="F2558" s="163"/>
      <c r="G2558" s="163"/>
      <c r="H2558" s="163"/>
    </row>
    <row r="2559" spans="4:8" ht="11.25" customHeight="1">
      <c r="D2559" s="163"/>
      <c r="E2559" s="163"/>
      <c r="F2559" s="163"/>
      <c r="G2559" s="163"/>
      <c r="H2559" s="163"/>
    </row>
    <row r="2560" spans="4:8" ht="11.25" customHeight="1">
      <c r="D2560" s="163"/>
      <c r="E2560" s="163"/>
      <c r="F2560" s="163"/>
      <c r="G2560" s="163"/>
      <c r="H2560" s="163"/>
    </row>
    <row r="2561" spans="4:8" ht="11.25" customHeight="1">
      <c r="D2561" s="163"/>
      <c r="E2561" s="163"/>
      <c r="F2561" s="163"/>
      <c r="G2561" s="163"/>
      <c r="H2561" s="163"/>
    </row>
    <row r="2562" spans="4:8" ht="11.25" customHeight="1">
      <c r="D2562" s="163"/>
      <c r="E2562" s="163"/>
      <c r="F2562" s="163"/>
      <c r="G2562" s="163"/>
      <c r="H2562" s="163"/>
    </row>
    <row r="2563" spans="4:8" ht="11.25" customHeight="1">
      <c r="D2563" s="163"/>
      <c r="E2563" s="163"/>
      <c r="F2563" s="163"/>
      <c r="G2563" s="163"/>
      <c r="H2563" s="163"/>
    </row>
    <row r="2564" spans="4:8" ht="11.25" customHeight="1">
      <c r="D2564" s="163"/>
      <c r="E2564" s="163"/>
      <c r="F2564" s="163"/>
      <c r="G2564" s="163"/>
      <c r="H2564" s="163"/>
    </row>
    <row r="2565" spans="4:8" ht="11.25" customHeight="1">
      <c r="D2565" s="163"/>
      <c r="E2565" s="163"/>
      <c r="F2565" s="163"/>
      <c r="G2565" s="163"/>
      <c r="H2565" s="163"/>
    </row>
    <row r="2566" spans="4:8" ht="11.25" customHeight="1">
      <c r="D2566" s="163"/>
      <c r="E2566" s="163"/>
      <c r="F2566" s="163"/>
      <c r="G2566" s="163"/>
      <c r="H2566" s="163"/>
    </row>
    <row r="2567" spans="4:8" ht="11.25" customHeight="1">
      <c r="D2567" s="163"/>
      <c r="E2567" s="163"/>
      <c r="F2567" s="163"/>
      <c r="G2567" s="163"/>
      <c r="H2567" s="163"/>
    </row>
    <row r="2568" spans="4:8" ht="11.25" customHeight="1">
      <c r="D2568" s="163"/>
      <c r="E2568" s="163"/>
      <c r="F2568" s="163"/>
      <c r="G2568" s="163"/>
      <c r="H2568" s="163"/>
    </row>
    <row r="2569" spans="4:8" ht="11.25" customHeight="1">
      <c r="D2569" s="163"/>
      <c r="E2569" s="163"/>
      <c r="F2569" s="163"/>
      <c r="G2569" s="163"/>
      <c r="H2569" s="163"/>
    </row>
    <row r="2570" spans="4:8" ht="11.25" customHeight="1">
      <c r="D2570" s="163"/>
      <c r="E2570" s="163"/>
      <c r="F2570" s="163"/>
      <c r="G2570" s="163"/>
      <c r="H2570" s="163"/>
    </row>
    <row r="2571" spans="4:8" ht="11.25" customHeight="1">
      <c r="D2571" s="163"/>
      <c r="E2571" s="163"/>
      <c r="F2571" s="163"/>
      <c r="G2571" s="163"/>
      <c r="H2571" s="163"/>
    </row>
    <row r="2572" spans="4:8" ht="11.25" customHeight="1">
      <c r="D2572" s="163"/>
      <c r="E2572" s="163"/>
      <c r="F2572" s="163"/>
      <c r="G2572" s="163"/>
      <c r="H2572" s="163"/>
    </row>
    <row r="2573" spans="4:8" ht="11.25" customHeight="1">
      <c r="D2573" s="163"/>
      <c r="E2573" s="163"/>
      <c r="F2573" s="163"/>
      <c r="G2573" s="163"/>
      <c r="H2573" s="163"/>
    </row>
    <row r="2574" spans="4:8" ht="11.25" customHeight="1">
      <c r="D2574" s="163"/>
      <c r="E2574" s="163"/>
      <c r="F2574" s="163"/>
      <c r="G2574" s="163"/>
      <c r="H2574" s="163"/>
    </row>
    <row r="2575" spans="4:8" ht="11.25" customHeight="1">
      <c r="D2575" s="163"/>
      <c r="E2575" s="163"/>
      <c r="F2575" s="163"/>
      <c r="G2575" s="163"/>
      <c r="H2575" s="163"/>
    </row>
    <row r="2576" spans="4:8" ht="11.25" customHeight="1">
      <c r="D2576" s="163"/>
      <c r="E2576" s="163"/>
      <c r="F2576" s="163"/>
      <c r="G2576" s="163"/>
      <c r="H2576" s="163"/>
    </row>
    <row r="2577" spans="4:8" ht="11.25" customHeight="1">
      <c r="D2577" s="163"/>
      <c r="E2577" s="163"/>
      <c r="F2577" s="163"/>
      <c r="G2577" s="163"/>
      <c r="H2577" s="163"/>
    </row>
    <row r="2578" spans="4:8" ht="11.25" customHeight="1">
      <c r="D2578" s="163"/>
      <c r="E2578" s="163"/>
      <c r="F2578" s="163"/>
      <c r="G2578" s="163"/>
      <c r="H2578" s="163"/>
    </row>
    <row r="2579" spans="4:8" ht="11.25" customHeight="1">
      <c r="D2579" s="163"/>
      <c r="E2579" s="163"/>
      <c r="F2579" s="163"/>
      <c r="G2579" s="163"/>
      <c r="H2579" s="163"/>
    </row>
    <row r="2580" spans="4:8" ht="11.25" customHeight="1">
      <c r="D2580" s="163"/>
      <c r="E2580" s="163"/>
      <c r="F2580" s="163"/>
      <c r="G2580" s="163"/>
      <c r="H2580" s="163"/>
    </row>
    <row r="2581" spans="4:8" ht="11.25" customHeight="1">
      <c r="D2581" s="163"/>
      <c r="E2581" s="163"/>
      <c r="F2581" s="163"/>
      <c r="G2581" s="163"/>
      <c r="H2581" s="163"/>
    </row>
    <row r="2582" spans="4:8" ht="11.25" customHeight="1">
      <c r="D2582" s="163"/>
      <c r="E2582" s="163"/>
      <c r="F2582" s="163"/>
      <c r="G2582" s="163"/>
      <c r="H2582" s="163"/>
    </row>
    <row r="2583" spans="4:8" ht="11.25" customHeight="1">
      <c r="D2583" s="163"/>
      <c r="E2583" s="163"/>
      <c r="F2583" s="163"/>
      <c r="G2583" s="163"/>
      <c r="H2583" s="163"/>
    </row>
    <row r="2584" spans="4:8" ht="11.25" customHeight="1">
      <c r="D2584" s="163"/>
      <c r="E2584" s="163"/>
      <c r="F2584" s="163"/>
      <c r="G2584" s="163"/>
      <c r="H2584" s="163"/>
    </row>
    <row r="2585" spans="4:8" ht="11.25" customHeight="1">
      <c r="D2585" s="163"/>
      <c r="E2585" s="163"/>
      <c r="F2585" s="163"/>
      <c r="G2585" s="163"/>
      <c r="H2585" s="163"/>
    </row>
    <row r="2586" spans="4:8" ht="11.25" customHeight="1">
      <c r="D2586" s="163"/>
      <c r="E2586" s="163"/>
      <c r="F2586" s="163"/>
      <c r="G2586" s="163"/>
      <c r="H2586" s="163"/>
    </row>
    <row r="2587" spans="4:8" ht="11.25" customHeight="1">
      <c r="D2587" s="163"/>
      <c r="E2587" s="163"/>
      <c r="F2587" s="163"/>
      <c r="G2587" s="163"/>
      <c r="H2587" s="163"/>
    </row>
    <row r="2588" spans="4:8" ht="11.25" customHeight="1">
      <c r="D2588" s="163"/>
      <c r="E2588" s="163"/>
      <c r="F2588" s="163"/>
      <c r="G2588" s="163"/>
      <c r="H2588" s="163"/>
    </row>
    <row r="2589" spans="4:8" ht="11.25" customHeight="1">
      <c r="D2589" s="163"/>
      <c r="E2589" s="163"/>
      <c r="F2589" s="163"/>
      <c r="G2589" s="163"/>
      <c r="H2589" s="163"/>
    </row>
    <row r="2590" spans="4:8" ht="11.25" customHeight="1">
      <c r="D2590" s="163"/>
      <c r="E2590" s="163"/>
      <c r="F2590" s="163"/>
      <c r="G2590" s="163"/>
      <c r="H2590" s="163"/>
    </row>
    <row r="2591" spans="4:8" ht="11.25" customHeight="1">
      <c r="D2591" s="163"/>
      <c r="E2591" s="163"/>
      <c r="F2591" s="163"/>
      <c r="G2591" s="163"/>
      <c r="H2591" s="163"/>
    </row>
    <row r="2592" spans="4:8" ht="11.25" customHeight="1">
      <c r="D2592" s="163"/>
      <c r="E2592" s="163"/>
      <c r="F2592" s="163"/>
      <c r="G2592" s="163"/>
      <c r="H2592" s="163"/>
    </row>
    <row r="2593" spans="4:8" ht="11.25" customHeight="1">
      <c r="D2593" s="163"/>
      <c r="E2593" s="163"/>
      <c r="F2593" s="163"/>
      <c r="G2593" s="163"/>
      <c r="H2593" s="163"/>
    </row>
    <row r="2594" spans="4:8" ht="11.25" customHeight="1">
      <c r="D2594" s="163"/>
      <c r="E2594" s="163"/>
      <c r="F2594" s="163"/>
      <c r="G2594" s="163"/>
      <c r="H2594" s="163"/>
    </row>
    <row r="2595" spans="4:8" ht="11.25" customHeight="1">
      <c r="D2595" s="163"/>
      <c r="E2595" s="163"/>
      <c r="F2595" s="163"/>
      <c r="G2595" s="163"/>
      <c r="H2595" s="163"/>
    </row>
    <row r="2596" spans="4:8" ht="11.25" customHeight="1">
      <c r="D2596" s="163"/>
      <c r="E2596" s="163"/>
      <c r="F2596" s="163"/>
      <c r="G2596" s="163"/>
      <c r="H2596" s="163"/>
    </row>
    <row r="2597" spans="4:8" ht="11.25" customHeight="1">
      <c r="D2597" s="163"/>
      <c r="E2597" s="163"/>
      <c r="F2597" s="163"/>
      <c r="G2597" s="163"/>
      <c r="H2597" s="163"/>
    </row>
    <row r="2598" spans="4:8" ht="11.25" customHeight="1">
      <c r="D2598" s="163"/>
      <c r="E2598" s="163"/>
      <c r="F2598" s="163"/>
      <c r="G2598" s="163"/>
      <c r="H2598" s="163"/>
    </row>
    <row r="2599" spans="4:8" ht="11.25" customHeight="1">
      <c r="D2599" s="163"/>
      <c r="E2599" s="163"/>
      <c r="F2599" s="163"/>
      <c r="G2599" s="163"/>
      <c r="H2599" s="163"/>
    </row>
    <row r="2600" spans="4:8" ht="11.25" customHeight="1">
      <c r="D2600" s="163"/>
      <c r="E2600" s="163"/>
      <c r="F2600" s="163"/>
      <c r="G2600" s="163"/>
      <c r="H2600" s="163"/>
    </row>
    <row r="2601" spans="4:8" ht="11.25" customHeight="1">
      <c r="D2601" s="163"/>
      <c r="E2601" s="163"/>
      <c r="F2601" s="163"/>
      <c r="G2601" s="163"/>
      <c r="H2601" s="163"/>
    </row>
    <row r="2602" spans="4:8" ht="11.25" customHeight="1">
      <c r="D2602" s="163"/>
      <c r="E2602" s="163"/>
      <c r="F2602" s="163"/>
      <c r="G2602" s="163"/>
      <c r="H2602" s="163"/>
    </row>
    <row r="2603" spans="4:8" ht="11.25" customHeight="1">
      <c r="D2603" s="163"/>
      <c r="E2603" s="163"/>
      <c r="F2603" s="163"/>
      <c r="G2603" s="163"/>
      <c r="H2603" s="163"/>
    </row>
    <row r="2604" spans="4:8" ht="11.25" customHeight="1">
      <c r="D2604" s="163"/>
      <c r="E2604" s="163"/>
      <c r="F2604" s="163"/>
      <c r="G2604" s="163"/>
      <c r="H2604" s="163"/>
    </row>
    <row r="2605" spans="4:8" ht="11.25" customHeight="1">
      <c r="D2605" s="163"/>
      <c r="E2605" s="163"/>
      <c r="F2605" s="163"/>
      <c r="G2605" s="163"/>
      <c r="H2605" s="163"/>
    </row>
    <row r="2606" spans="4:8" ht="11.25" customHeight="1">
      <c r="D2606" s="163"/>
      <c r="E2606" s="163"/>
      <c r="F2606" s="163"/>
      <c r="G2606" s="163"/>
      <c r="H2606" s="163"/>
    </row>
    <row r="2607" spans="4:8" ht="11.25" customHeight="1">
      <c r="D2607" s="163"/>
      <c r="E2607" s="163"/>
      <c r="F2607" s="163"/>
      <c r="G2607" s="163"/>
      <c r="H2607" s="163"/>
    </row>
    <row r="2608" spans="4:8" ht="11.25" customHeight="1">
      <c r="D2608" s="163"/>
      <c r="E2608" s="163"/>
      <c r="F2608" s="163"/>
      <c r="G2608" s="163"/>
      <c r="H2608" s="163"/>
    </row>
    <row r="2609" spans="4:8" ht="11.25" customHeight="1">
      <c r="D2609" s="163"/>
      <c r="E2609" s="163"/>
      <c r="F2609" s="163"/>
      <c r="G2609" s="163"/>
      <c r="H2609" s="163"/>
    </row>
    <row r="2610" spans="4:8" ht="11.25" customHeight="1">
      <c r="D2610" s="163"/>
      <c r="E2610" s="163"/>
      <c r="F2610" s="163"/>
      <c r="G2610" s="163"/>
      <c r="H2610" s="163"/>
    </row>
    <row r="2611" spans="4:8" ht="11.25" customHeight="1">
      <c r="D2611" s="163"/>
      <c r="E2611" s="163"/>
      <c r="F2611" s="163"/>
      <c r="G2611" s="163"/>
      <c r="H2611" s="163"/>
    </row>
    <row r="2612" spans="4:8" ht="11.25" customHeight="1">
      <c r="D2612" s="163"/>
      <c r="E2612" s="163"/>
      <c r="F2612" s="163"/>
      <c r="G2612" s="163"/>
      <c r="H2612" s="163"/>
    </row>
    <row r="2613" spans="4:8" ht="11.25" customHeight="1">
      <c r="D2613" s="163"/>
      <c r="E2613" s="163"/>
      <c r="F2613" s="163"/>
      <c r="G2613" s="163"/>
      <c r="H2613" s="163"/>
    </row>
    <row r="2614" spans="4:8" ht="11.25" customHeight="1">
      <c r="D2614" s="163"/>
      <c r="E2614" s="163"/>
      <c r="F2614" s="163"/>
      <c r="G2614" s="163"/>
      <c r="H2614" s="163"/>
    </row>
    <row r="2615" spans="4:8" ht="11.25" customHeight="1">
      <c r="D2615" s="163"/>
      <c r="E2615" s="163"/>
      <c r="F2615" s="163"/>
      <c r="G2615" s="163"/>
      <c r="H2615" s="163"/>
    </row>
    <row r="2616" spans="4:8" ht="11.25" customHeight="1">
      <c r="D2616" s="163"/>
      <c r="E2616" s="163"/>
      <c r="F2616" s="163"/>
      <c r="G2616" s="163"/>
      <c r="H2616" s="163"/>
    </row>
    <row r="2617" spans="4:8" ht="11.25" customHeight="1">
      <c r="D2617" s="163"/>
      <c r="E2617" s="163"/>
      <c r="F2617" s="163"/>
      <c r="G2617" s="163"/>
      <c r="H2617" s="163"/>
    </row>
    <row r="2618" spans="4:8" ht="11.25" customHeight="1">
      <c r="D2618" s="163"/>
      <c r="E2618" s="163"/>
      <c r="F2618" s="163"/>
      <c r="G2618" s="163"/>
      <c r="H2618" s="163"/>
    </row>
    <row r="2619" spans="4:8" ht="11.25" customHeight="1">
      <c r="D2619" s="163"/>
      <c r="E2619" s="163"/>
      <c r="F2619" s="163"/>
      <c r="G2619" s="163"/>
      <c r="H2619" s="163"/>
    </row>
    <row r="2620" spans="4:8" ht="11.25" customHeight="1">
      <c r="D2620" s="163"/>
      <c r="E2620" s="163"/>
      <c r="F2620" s="163"/>
      <c r="G2620" s="163"/>
      <c r="H2620" s="163"/>
    </row>
    <row r="2621" spans="4:8" ht="11.25" customHeight="1">
      <c r="D2621" s="163"/>
      <c r="E2621" s="163"/>
      <c r="F2621" s="163"/>
      <c r="G2621" s="163"/>
      <c r="H2621" s="163"/>
    </row>
    <row r="2622" spans="4:8" ht="11.25" customHeight="1">
      <c r="D2622" s="163"/>
      <c r="E2622" s="163"/>
      <c r="F2622" s="163"/>
      <c r="G2622" s="163"/>
      <c r="H2622" s="163"/>
    </row>
    <row r="2623" spans="4:8" ht="11.25" customHeight="1">
      <c r="D2623" s="163"/>
      <c r="E2623" s="163"/>
      <c r="F2623" s="163"/>
      <c r="G2623" s="163"/>
      <c r="H2623" s="163"/>
    </row>
    <row r="2624" spans="4:8" ht="11.25" customHeight="1">
      <c r="D2624" s="163"/>
      <c r="E2624" s="163"/>
      <c r="F2624" s="163"/>
      <c r="G2624" s="163"/>
      <c r="H2624" s="163"/>
    </row>
    <row r="2625" spans="4:8" ht="11.25" customHeight="1">
      <c r="D2625" s="163"/>
      <c r="E2625" s="163"/>
      <c r="F2625" s="163"/>
      <c r="G2625" s="163"/>
      <c r="H2625" s="163"/>
    </row>
    <row r="2626" spans="4:8" ht="11.25" customHeight="1">
      <c r="D2626" s="163"/>
      <c r="E2626" s="163"/>
      <c r="F2626" s="163"/>
      <c r="G2626" s="163"/>
      <c r="H2626" s="163"/>
    </row>
    <row r="2627" spans="4:8" ht="11.25" customHeight="1">
      <c r="D2627" s="163"/>
      <c r="E2627" s="163"/>
      <c r="F2627" s="163"/>
      <c r="G2627" s="163"/>
      <c r="H2627" s="163"/>
    </row>
    <row r="2628" spans="4:8" ht="11.25" customHeight="1">
      <c r="D2628" s="163"/>
      <c r="E2628" s="163"/>
      <c r="F2628" s="163"/>
      <c r="G2628" s="163"/>
      <c r="H2628" s="163"/>
    </row>
    <row r="2629" spans="4:8" ht="11.25" customHeight="1">
      <c r="D2629" s="163"/>
      <c r="E2629" s="163"/>
      <c r="F2629" s="163"/>
      <c r="G2629" s="163"/>
      <c r="H2629" s="163"/>
    </row>
    <row r="2630" spans="4:8" ht="11.25" customHeight="1">
      <c r="D2630" s="163"/>
      <c r="E2630" s="163"/>
      <c r="F2630" s="163"/>
      <c r="G2630" s="163"/>
      <c r="H2630" s="163"/>
    </row>
    <row r="2631" spans="4:8" ht="11.25" customHeight="1">
      <c r="D2631" s="163"/>
      <c r="E2631" s="163"/>
      <c r="F2631" s="163"/>
      <c r="G2631" s="163"/>
      <c r="H2631" s="163"/>
    </row>
    <row r="2632" spans="4:8" ht="11.25" customHeight="1">
      <c r="D2632" s="163"/>
      <c r="E2632" s="163"/>
      <c r="F2632" s="163"/>
      <c r="G2632" s="163"/>
      <c r="H2632" s="163"/>
    </row>
    <row r="2633" spans="4:8" ht="11.25" customHeight="1">
      <c r="D2633" s="163"/>
      <c r="E2633" s="163"/>
      <c r="F2633" s="163"/>
      <c r="G2633" s="163"/>
      <c r="H2633" s="163"/>
    </row>
    <row r="2634" spans="4:8" ht="11.25" customHeight="1">
      <c r="D2634" s="163"/>
      <c r="E2634" s="163"/>
      <c r="F2634" s="163"/>
      <c r="G2634" s="163"/>
      <c r="H2634" s="163"/>
    </row>
    <row r="2635" spans="4:8" ht="11.25" customHeight="1">
      <c r="D2635" s="163"/>
      <c r="E2635" s="163"/>
      <c r="F2635" s="163"/>
      <c r="G2635" s="163"/>
      <c r="H2635" s="163"/>
    </row>
    <row r="2636" spans="4:8" ht="11.25" customHeight="1">
      <c r="D2636" s="163"/>
      <c r="E2636" s="163"/>
      <c r="F2636" s="163"/>
      <c r="G2636" s="163"/>
      <c r="H2636" s="163"/>
    </row>
    <row r="2637" spans="4:8" ht="11.25" customHeight="1">
      <c r="D2637" s="163"/>
      <c r="E2637" s="163"/>
      <c r="F2637" s="163"/>
      <c r="G2637" s="163"/>
      <c r="H2637" s="163"/>
    </row>
    <row r="2638" spans="4:8" ht="11.25" customHeight="1">
      <c r="D2638" s="163"/>
      <c r="E2638" s="163"/>
      <c r="F2638" s="163"/>
      <c r="G2638" s="163"/>
      <c r="H2638" s="163"/>
    </row>
    <row r="2639" spans="4:8" ht="11.25" customHeight="1">
      <c r="D2639" s="163"/>
      <c r="E2639" s="163"/>
      <c r="F2639" s="163"/>
      <c r="G2639" s="163"/>
      <c r="H2639" s="163"/>
    </row>
    <row r="2640" spans="4:8" ht="11.25" customHeight="1">
      <c r="D2640" s="163"/>
      <c r="E2640" s="163"/>
      <c r="F2640" s="163"/>
      <c r="G2640" s="163"/>
      <c r="H2640" s="163"/>
    </row>
    <row r="2641" spans="4:8" ht="11.25" customHeight="1">
      <c r="D2641" s="163"/>
      <c r="E2641" s="163"/>
      <c r="F2641" s="163"/>
      <c r="G2641" s="163"/>
      <c r="H2641" s="163"/>
    </row>
    <row r="2642" spans="4:8" ht="11.25" customHeight="1">
      <c r="D2642" s="163"/>
      <c r="E2642" s="163"/>
      <c r="F2642" s="163"/>
      <c r="G2642" s="163"/>
      <c r="H2642" s="163"/>
    </row>
    <row r="2643" spans="4:8" ht="11.25" customHeight="1">
      <c r="D2643" s="163"/>
      <c r="E2643" s="163"/>
      <c r="F2643" s="163"/>
      <c r="G2643" s="163"/>
      <c r="H2643" s="163"/>
    </row>
    <row r="2644" spans="4:8" ht="11.25" customHeight="1">
      <c r="D2644" s="163"/>
      <c r="E2644" s="163"/>
      <c r="F2644" s="163"/>
      <c r="G2644" s="163"/>
      <c r="H2644" s="163"/>
    </row>
    <row r="2645" spans="4:8" ht="11.25" customHeight="1">
      <c r="D2645" s="163"/>
      <c r="E2645" s="163"/>
      <c r="F2645" s="163"/>
      <c r="G2645" s="163"/>
      <c r="H2645" s="163"/>
    </row>
    <row r="2646" spans="4:8" ht="11.25" customHeight="1">
      <c r="D2646" s="163"/>
      <c r="E2646" s="163"/>
      <c r="F2646" s="163"/>
      <c r="G2646" s="163"/>
      <c r="H2646" s="163"/>
    </row>
    <row r="2647" spans="4:8" ht="11.25" customHeight="1">
      <c r="D2647" s="163"/>
      <c r="E2647" s="163"/>
      <c r="F2647" s="163"/>
      <c r="G2647" s="163"/>
      <c r="H2647" s="163"/>
    </row>
    <row r="2648" spans="4:8" ht="11.25" customHeight="1">
      <c r="D2648" s="163"/>
      <c r="E2648" s="163"/>
      <c r="F2648" s="163"/>
      <c r="G2648" s="163"/>
      <c r="H2648" s="163"/>
    </row>
    <row r="2649" spans="4:8" ht="11.25" customHeight="1">
      <c r="D2649" s="163"/>
      <c r="E2649" s="163"/>
      <c r="F2649" s="163"/>
      <c r="G2649" s="163"/>
      <c r="H2649" s="163"/>
    </row>
    <row r="2650" spans="4:8" ht="11.25" customHeight="1">
      <c r="D2650" s="163"/>
      <c r="E2650" s="163"/>
      <c r="F2650" s="163"/>
      <c r="G2650" s="163"/>
      <c r="H2650" s="163"/>
    </row>
    <row r="2651" spans="4:8" ht="11.25" customHeight="1">
      <c r="D2651" s="163"/>
      <c r="E2651" s="163"/>
      <c r="F2651" s="163"/>
      <c r="G2651" s="163"/>
      <c r="H2651" s="163"/>
    </row>
    <row r="2652" spans="4:8" ht="11.25" customHeight="1">
      <c r="D2652" s="163"/>
      <c r="E2652" s="163"/>
      <c r="F2652" s="163"/>
      <c r="G2652" s="163"/>
      <c r="H2652" s="163"/>
    </row>
    <row r="2653" spans="4:8" ht="11.25" customHeight="1">
      <c r="D2653" s="163"/>
      <c r="E2653" s="163"/>
      <c r="F2653" s="163"/>
      <c r="G2653" s="163"/>
      <c r="H2653" s="163"/>
    </row>
    <row r="2654" spans="4:8" ht="11.25" customHeight="1">
      <c r="D2654" s="163"/>
      <c r="E2654" s="163"/>
      <c r="F2654" s="163"/>
      <c r="G2654" s="163"/>
      <c r="H2654" s="163"/>
    </row>
    <row r="2655" spans="4:8" ht="11.25" customHeight="1">
      <c r="D2655" s="163"/>
      <c r="E2655" s="163"/>
      <c r="F2655" s="163"/>
      <c r="G2655" s="163"/>
      <c r="H2655" s="163"/>
    </row>
    <row r="2656" spans="4:8" ht="11.25" customHeight="1">
      <c r="D2656" s="163"/>
      <c r="E2656" s="163"/>
      <c r="F2656" s="163"/>
      <c r="G2656" s="163"/>
      <c r="H2656" s="163"/>
    </row>
    <row r="2657" spans="4:8" ht="11.25" customHeight="1">
      <c r="D2657" s="163"/>
      <c r="E2657" s="163"/>
      <c r="F2657" s="163"/>
      <c r="G2657" s="163"/>
      <c r="H2657" s="163"/>
    </row>
    <row r="2658" spans="4:8" ht="11.25" customHeight="1">
      <c r="D2658" s="163"/>
      <c r="E2658" s="163"/>
      <c r="F2658" s="163"/>
      <c r="G2658" s="163"/>
      <c r="H2658" s="163"/>
    </row>
    <row r="2659" spans="4:8" ht="11.25" customHeight="1">
      <c r="D2659" s="163"/>
      <c r="E2659" s="163"/>
      <c r="F2659" s="163"/>
      <c r="G2659" s="163"/>
      <c r="H2659" s="163"/>
    </row>
    <row r="2660" spans="4:8" ht="11.25" customHeight="1">
      <c r="D2660" s="163"/>
      <c r="E2660" s="163"/>
      <c r="F2660" s="163"/>
      <c r="G2660" s="163"/>
      <c r="H2660" s="163"/>
    </row>
    <row r="2661" spans="4:8" ht="11.25" customHeight="1">
      <c r="D2661" s="163"/>
      <c r="E2661" s="163"/>
      <c r="F2661" s="163"/>
      <c r="G2661" s="163"/>
      <c r="H2661" s="163"/>
    </row>
    <row r="2662" spans="4:8" ht="11.25" customHeight="1">
      <c r="D2662" s="163"/>
      <c r="E2662" s="163"/>
      <c r="F2662" s="163"/>
      <c r="G2662" s="163"/>
      <c r="H2662" s="163"/>
    </row>
    <row r="2663" spans="4:8" ht="11.25" customHeight="1">
      <c r="D2663" s="163"/>
      <c r="E2663" s="163"/>
      <c r="F2663" s="163"/>
      <c r="G2663" s="163"/>
      <c r="H2663" s="163"/>
    </row>
    <row r="2664" spans="4:8" ht="11.25" customHeight="1">
      <c r="D2664" s="163"/>
      <c r="E2664" s="163"/>
      <c r="F2664" s="163"/>
      <c r="G2664" s="163"/>
      <c r="H2664" s="163"/>
    </row>
    <row r="2665" spans="4:8" ht="11.25" customHeight="1">
      <c r="D2665" s="163"/>
      <c r="E2665" s="163"/>
      <c r="F2665" s="163"/>
      <c r="G2665" s="163"/>
      <c r="H2665" s="163"/>
    </row>
    <row r="2666" spans="4:8" ht="11.25" customHeight="1">
      <c r="D2666" s="163"/>
      <c r="E2666" s="163"/>
      <c r="F2666" s="163"/>
      <c r="G2666" s="163"/>
      <c r="H2666" s="163"/>
    </row>
    <row r="2667" spans="4:8" ht="11.25" customHeight="1">
      <c r="D2667" s="163"/>
      <c r="E2667" s="163"/>
      <c r="F2667" s="163"/>
      <c r="G2667" s="163"/>
      <c r="H2667" s="163"/>
    </row>
    <row r="2668" spans="4:8" ht="11.25" customHeight="1">
      <c r="D2668" s="163"/>
      <c r="E2668" s="163"/>
      <c r="F2668" s="163"/>
      <c r="G2668" s="163"/>
      <c r="H2668" s="163"/>
    </row>
    <row r="2669" spans="4:8" ht="11.25" customHeight="1">
      <c r="D2669" s="163"/>
      <c r="E2669" s="163"/>
      <c r="F2669" s="163"/>
      <c r="G2669" s="163"/>
      <c r="H2669" s="163"/>
    </row>
    <row r="2670" spans="4:8" ht="11.25" customHeight="1">
      <c r="D2670" s="163"/>
      <c r="E2670" s="163"/>
      <c r="F2670" s="163"/>
      <c r="G2670" s="163"/>
      <c r="H2670" s="163"/>
    </row>
    <row r="2671" spans="4:8" ht="11.25" customHeight="1">
      <c r="D2671" s="163"/>
      <c r="E2671" s="163"/>
      <c r="F2671" s="163"/>
      <c r="G2671" s="163"/>
      <c r="H2671" s="163"/>
    </row>
    <row r="2672" spans="4:8" ht="11.25" customHeight="1">
      <c r="D2672" s="163"/>
      <c r="E2672" s="163"/>
      <c r="F2672" s="163"/>
      <c r="G2672" s="163"/>
      <c r="H2672" s="163"/>
    </row>
    <row r="2673" spans="4:8" ht="11.25" customHeight="1">
      <c r="D2673" s="163"/>
      <c r="E2673" s="163"/>
      <c r="F2673" s="163"/>
      <c r="G2673" s="163"/>
      <c r="H2673" s="163"/>
    </row>
    <row r="2674" spans="4:8" ht="11.25" customHeight="1">
      <c r="D2674" s="163"/>
      <c r="E2674" s="163"/>
      <c r="F2674" s="163"/>
      <c r="G2674" s="163"/>
      <c r="H2674" s="163"/>
    </row>
    <row r="2675" spans="4:8" ht="11.25" customHeight="1">
      <c r="D2675" s="163"/>
      <c r="E2675" s="163"/>
      <c r="F2675" s="163"/>
      <c r="G2675" s="163"/>
      <c r="H2675" s="163"/>
    </row>
    <row r="2676" spans="4:8" ht="11.25" customHeight="1">
      <c r="D2676" s="163"/>
      <c r="E2676" s="163"/>
      <c r="F2676" s="163"/>
      <c r="G2676" s="163"/>
      <c r="H2676" s="163"/>
    </row>
    <row r="2677" spans="4:8" ht="11.25" customHeight="1">
      <c r="D2677" s="163"/>
      <c r="E2677" s="163"/>
      <c r="F2677" s="163"/>
      <c r="G2677" s="163"/>
      <c r="H2677" s="163"/>
    </row>
    <row r="2678" spans="4:8" ht="11.25" customHeight="1">
      <c r="D2678" s="163"/>
      <c r="E2678" s="163"/>
      <c r="F2678" s="163"/>
      <c r="G2678" s="163"/>
      <c r="H2678" s="163"/>
    </row>
    <row r="2679" spans="4:8" ht="11.25" customHeight="1">
      <c r="D2679" s="163"/>
      <c r="E2679" s="163"/>
      <c r="F2679" s="163"/>
      <c r="G2679" s="163"/>
      <c r="H2679" s="163"/>
    </row>
    <row r="2680" spans="4:8" ht="11.25" customHeight="1">
      <c r="D2680" s="163"/>
      <c r="E2680" s="163"/>
      <c r="F2680" s="163"/>
      <c r="G2680" s="163"/>
      <c r="H2680" s="163"/>
    </row>
    <row r="2681" spans="4:8" ht="11.25" customHeight="1">
      <c r="D2681" s="163"/>
      <c r="E2681" s="163"/>
      <c r="F2681" s="163"/>
      <c r="G2681" s="163"/>
      <c r="H2681" s="163"/>
    </row>
    <row r="2682" spans="4:8" ht="11.25" customHeight="1">
      <c r="D2682" s="163"/>
      <c r="E2682" s="163"/>
      <c r="F2682" s="163"/>
      <c r="G2682" s="163"/>
      <c r="H2682" s="163"/>
    </row>
    <row r="2683" spans="4:8" ht="11.25" customHeight="1">
      <c r="D2683" s="163"/>
      <c r="E2683" s="163"/>
      <c r="F2683" s="163"/>
      <c r="G2683" s="163"/>
      <c r="H2683" s="163"/>
    </row>
    <row r="2684" spans="4:8" ht="11.25" customHeight="1">
      <c r="D2684" s="163"/>
      <c r="E2684" s="163"/>
      <c r="F2684" s="163"/>
      <c r="G2684" s="163"/>
      <c r="H2684" s="163"/>
    </row>
    <row r="2685" spans="4:8" ht="11.25" customHeight="1">
      <c r="D2685" s="163"/>
      <c r="E2685" s="163"/>
      <c r="F2685" s="163"/>
      <c r="G2685" s="163"/>
      <c r="H2685" s="163"/>
    </row>
    <row r="2686" spans="4:8" ht="11.25" customHeight="1">
      <c r="D2686" s="163"/>
      <c r="E2686" s="163"/>
      <c r="F2686" s="163"/>
      <c r="G2686" s="163"/>
      <c r="H2686" s="163"/>
    </row>
    <row r="2687" spans="4:8" ht="11.25" customHeight="1">
      <c r="D2687" s="163"/>
      <c r="E2687" s="163"/>
      <c r="F2687" s="163"/>
      <c r="G2687" s="163"/>
      <c r="H2687" s="163"/>
    </row>
    <row r="2688" spans="4:8" ht="11.25" customHeight="1">
      <c r="D2688" s="163"/>
      <c r="E2688" s="163"/>
      <c r="F2688" s="163"/>
      <c r="G2688" s="163"/>
      <c r="H2688" s="163"/>
    </row>
    <row r="2689" spans="4:8" ht="11.25" customHeight="1">
      <c r="D2689" s="163"/>
      <c r="E2689" s="163"/>
      <c r="F2689" s="163"/>
      <c r="G2689" s="163"/>
      <c r="H2689" s="163"/>
    </row>
    <row r="2690" spans="4:8" ht="11.25" customHeight="1">
      <c r="D2690" s="163"/>
      <c r="E2690" s="163"/>
      <c r="F2690" s="163"/>
      <c r="G2690" s="163"/>
      <c r="H2690" s="163"/>
    </row>
    <row r="2691" spans="4:8" ht="11.25" customHeight="1">
      <c r="D2691" s="163"/>
      <c r="E2691" s="163"/>
      <c r="F2691" s="163"/>
      <c r="G2691" s="163"/>
      <c r="H2691" s="163"/>
    </row>
    <row r="2692" spans="4:8" ht="11.25" customHeight="1">
      <c r="D2692" s="163"/>
      <c r="E2692" s="163"/>
      <c r="F2692" s="163"/>
      <c r="G2692" s="163"/>
      <c r="H2692" s="163"/>
    </row>
    <row r="2693" spans="4:8" ht="11.25" customHeight="1">
      <c r="D2693" s="163"/>
      <c r="E2693" s="163"/>
      <c r="F2693" s="163"/>
      <c r="G2693" s="163"/>
      <c r="H2693" s="163"/>
    </row>
    <row r="2694" spans="4:8" ht="11.25" customHeight="1">
      <c r="D2694" s="163"/>
      <c r="E2694" s="163"/>
      <c r="F2694" s="163"/>
      <c r="G2694" s="163"/>
      <c r="H2694" s="163"/>
    </row>
    <row r="2695" spans="4:8" ht="11.25" customHeight="1">
      <c r="D2695" s="163"/>
      <c r="E2695" s="163"/>
      <c r="F2695" s="163"/>
      <c r="G2695" s="163"/>
      <c r="H2695" s="163"/>
    </row>
    <row r="2696" spans="4:8" ht="11.25" customHeight="1">
      <c r="D2696" s="163"/>
      <c r="E2696" s="163"/>
      <c r="F2696" s="163"/>
      <c r="G2696" s="163"/>
      <c r="H2696" s="163"/>
    </row>
    <row r="2697" spans="4:8" ht="11.25" customHeight="1">
      <c r="D2697" s="163"/>
      <c r="E2697" s="163"/>
      <c r="F2697" s="163"/>
      <c r="G2697" s="163"/>
      <c r="H2697" s="163"/>
    </row>
    <row r="2698" spans="4:8" ht="11.25" customHeight="1">
      <c r="D2698" s="163"/>
      <c r="E2698" s="163"/>
      <c r="F2698" s="163"/>
      <c r="G2698" s="163"/>
      <c r="H2698" s="163"/>
    </row>
    <row r="2699" spans="4:8" ht="11.25" customHeight="1">
      <c r="D2699" s="163"/>
      <c r="E2699" s="163"/>
      <c r="F2699" s="163"/>
      <c r="G2699" s="163"/>
      <c r="H2699" s="163"/>
    </row>
    <row r="2700" spans="4:8" ht="11.25" customHeight="1">
      <c r="D2700" s="163"/>
      <c r="E2700" s="163"/>
      <c r="F2700" s="163"/>
      <c r="G2700" s="163"/>
      <c r="H2700" s="163"/>
    </row>
    <row r="2701" spans="4:8" ht="11.25" customHeight="1">
      <c r="D2701" s="163"/>
      <c r="E2701" s="163"/>
      <c r="F2701" s="163"/>
      <c r="G2701" s="163"/>
      <c r="H2701" s="163"/>
    </row>
    <row r="2702" spans="4:8" ht="11.25" customHeight="1">
      <c r="D2702" s="163"/>
      <c r="E2702" s="163"/>
      <c r="F2702" s="163"/>
      <c r="G2702" s="163"/>
      <c r="H2702" s="163"/>
    </row>
    <row r="2703" spans="4:8" ht="11.25" customHeight="1">
      <c r="D2703" s="163"/>
      <c r="E2703" s="163"/>
      <c r="F2703" s="163"/>
      <c r="G2703" s="163"/>
      <c r="H2703" s="163"/>
    </row>
    <row r="2704" spans="4:8" ht="11.25" customHeight="1">
      <c r="D2704" s="163"/>
      <c r="E2704" s="163"/>
      <c r="F2704" s="163"/>
      <c r="G2704" s="163"/>
      <c r="H2704" s="163"/>
    </row>
    <row r="2705" spans="4:8" ht="11.25" customHeight="1">
      <c r="D2705" s="163"/>
      <c r="E2705" s="163"/>
      <c r="F2705" s="163"/>
      <c r="G2705" s="163"/>
      <c r="H2705" s="163"/>
    </row>
    <row r="2706" spans="4:8" ht="11.25" customHeight="1">
      <c r="D2706" s="163"/>
      <c r="E2706" s="163"/>
      <c r="F2706" s="163"/>
      <c r="G2706" s="163"/>
      <c r="H2706" s="163"/>
    </row>
    <row r="2707" spans="4:8" ht="11.25" customHeight="1">
      <c r="D2707" s="163"/>
      <c r="E2707" s="163"/>
      <c r="F2707" s="163"/>
      <c r="G2707" s="163"/>
      <c r="H2707" s="163"/>
    </row>
    <row r="2708" spans="4:8" ht="11.25" customHeight="1">
      <c r="D2708" s="163"/>
      <c r="E2708" s="163"/>
      <c r="F2708" s="163"/>
      <c r="G2708" s="163"/>
      <c r="H2708" s="163"/>
    </row>
    <row r="2709" spans="4:8" ht="11.25" customHeight="1">
      <c r="D2709" s="163"/>
      <c r="E2709" s="163"/>
      <c r="F2709" s="163"/>
      <c r="G2709" s="163"/>
      <c r="H2709" s="163"/>
    </row>
    <row r="2710" spans="4:8" ht="11.25" customHeight="1">
      <c r="D2710" s="163"/>
      <c r="E2710" s="163"/>
      <c r="F2710" s="163"/>
      <c r="G2710" s="163"/>
      <c r="H2710" s="163"/>
    </row>
    <row r="2711" spans="4:8" ht="11.25" customHeight="1">
      <c r="D2711" s="163"/>
      <c r="E2711" s="163"/>
      <c r="F2711" s="163"/>
      <c r="G2711" s="163"/>
      <c r="H2711" s="163"/>
    </row>
    <row r="2712" spans="4:8" ht="11.25" customHeight="1">
      <c r="D2712" s="163"/>
      <c r="E2712" s="163"/>
      <c r="F2712" s="163"/>
      <c r="G2712" s="163"/>
      <c r="H2712" s="163"/>
    </row>
    <row r="2713" spans="4:8" ht="11.25" customHeight="1">
      <c r="D2713" s="163"/>
      <c r="E2713" s="163"/>
      <c r="F2713" s="163"/>
      <c r="G2713" s="163"/>
      <c r="H2713" s="163"/>
    </row>
    <row r="2714" spans="4:8" ht="11.25" customHeight="1">
      <c r="D2714" s="163"/>
      <c r="E2714" s="163"/>
      <c r="F2714" s="163"/>
      <c r="G2714" s="163"/>
      <c r="H2714" s="163"/>
    </row>
    <row r="2715" spans="4:8" ht="11.25" customHeight="1">
      <c r="D2715" s="163"/>
      <c r="E2715" s="163"/>
      <c r="F2715" s="163"/>
      <c r="G2715" s="163"/>
      <c r="H2715" s="163"/>
    </row>
    <row r="2716" spans="4:8" ht="11.25" customHeight="1">
      <c r="D2716" s="163"/>
      <c r="E2716" s="163"/>
      <c r="F2716" s="163"/>
      <c r="G2716" s="163"/>
      <c r="H2716" s="163"/>
    </row>
    <row r="2717" spans="4:8" ht="11.25" customHeight="1">
      <c r="D2717" s="163"/>
      <c r="E2717" s="163"/>
      <c r="F2717" s="163"/>
      <c r="G2717" s="163"/>
      <c r="H2717" s="163"/>
    </row>
    <row r="2718" spans="4:8" ht="11.25" customHeight="1">
      <c r="D2718" s="163"/>
      <c r="E2718" s="163"/>
      <c r="F2718" s="163"/>
      <c r="G2718" s="163"/>
      <c r="H2718" s="163"/>
    </row>
    <row r="2719" spans="4:8" ht="11.25" customHeight="1">
      <c r="D2719" s="163"/>
      <c r="E2719" s="163"/>
      <c r="F2719" s="163"/>
      <c r="G2719" s="163"/>
      <c r="H2719" s="163"/>
    </row>
    <row r="2720" spans="4:8" ht="11.25" customHeight="1">
      <c r="D2720" s="163"/>
      <c r="E2720" s="163"/>
      <c r="F2720" s="163"/>
      <c r="G2720" s="163"/>
      <c r="H2720" s="163"/>
    </row>
    <row r="2721" spans="4:8" ht="11.25" customHeight="1">
      <c r="D2721" s="163"/>
      <c r="E2721" s="163"/>
      <c r="F2721" s="163"/>
      <c r="G2721" s="163"/>
      <c r="H2721" s="163"/>
    </row>
    <row r="2722" spans="4:8" ht="11.25" customHeight="1">
      <c r="D2722" s="163"/>
      <c r="E2722" s="163"/>
      <c r="F2722" s="163"/>
      <c r="G2722" s="163"/>
      <c r="H2722" s="163"/>
    </row>
    <row r="2723" spans="4:8" ht="11.25" customHeight="1">
      <c r="D2723" s="163"/>
      <c r="E2723" s="163"/>
      <c r="F2723" s="163"/>
      <c r="G2723" s="163"/>
      <c r="H2723" s="163"/>
    </row>
    <row r="2724" spans="4:8" ht="11.25" customHeight="1">
      <c r="D2724" s="163"/>
      <c r="E2724" s="163"/>
      <c r="F2724" s="163"/>
      <c r="G2724" s="163"/>
      <c r="H2724" s="163"/>
    </row>
    <row r="2725" spans="4:8" ht="11.25" customHeight="1">
      <c r="D2725" s="163"/>
      <c r="E2725" s="163"/>
      <c r="F2725" s="163"/>
      <c r="G2725" s="163"/>
      <c r="H2725" s="163"/>
    </row>
    <row r="2726" spans="4:8" ht="11.25" customHeight="1">
      <c r="D2726" s="163"/>
      <c r="E2726" s="163"/>
      <c r="F2726" s="163"/>
      <c r="G2726" s="163"/>
      <c r="H2726" s="163"/>
    </row>
    <row r="2727" spans="4:8" ht="11.25" customHeight="1">
      <c r="D2727" s="163"/>
      <c r="E2727" s="163"/>
      <c r="F2727" s="163"/>
      <c r="G2727" s="163"/>
      <c r="H2727" s="163"/>
    </row>
    <row r="2728" spans="4:8" ht="11.25" customHeight="1">
      <c r="D2728" s="163"/>
      <c r="E2728" s="163"/>
      <c r="F2728" s="163"/>
      <c r="G2728" s="163"/>
      <c r="H2728" s="163"/>
    </row>
    <row r="2729" spans="4:8" ht="11.25" customHeight="1">
      <c r="D2729" s="163"/>
      <c r="E2729" s="163"/>
      <c r="F2729" s="163"/>
      <c r="G2729" s="163"/>
      <c r="H2729" s="163"/>
    </row>
    <row r="2730" spans="4:8" ht="11.25" customHeight="1">
      <c r="D2730" s="163"/>
      <c r="E2730" s="163"/>
      <c r="F2730" s="163"/>
      <c r="G2730" s="163"/>
      <c r="H2730" s="163"/>
    </row>
    <row r="2731" spans="4:8" ht="11.25" customHeight="1">
      <c r="D2731" s="163"/>
      <c r="E2731" s="163"/>
      <c r="F2731" s="163"/>
      <c r="G2731" s="163"/>
      <c r="H2731" s="163"/>
    </row>
    <row r="2732" spans="4:8" ht="11.25" customHeight="1">
      <c r="D2732" s="163"/>
      <c r="E2732" s="163"/>
      <c r="F2732" s="163"/>
      <c r="G2732" s="163"/>
      <c r="H2732" s="163"/>
    </row>
    <row r="2733" spans="4:8" ht="11.25" customHeight="1">
      <c r="D2733" s="163"/>
      <c r="E2733" s="163"/>
      <c r="F2733" s="163"/>
      <c r="G2733" s="163"/>
      <c r="H2733" s="163"/>
    </row>
    <row r="2734" spans="4:8" ht="11.25" customHeight="1">
      <c r="D2734" s="163"/>
      <c r="E2734" s="163"/>
      <c r="F2734" s="163"/>
      <c r="G2734" s="163"/>
      <c r="H2734" s="163"/>
    </row>
    <row r="2735" spans="4:8" ht="11.25" customHeight="1">
      <c r="D2735" s="163"/>
      <c r="E2735" s="163"/>
      <c r="F2735" s="163"/>
      <c r="G2735" s="163"/>
      <c r="H2735" s="163"/>
    </row>
    <row r="2736" spans="4:8" ht="11.25" customHeight="1">
      <c r="D2736" s="163"/>
      <c r="E2736" s="163"/>
      <c r="F2736" s="163"/>
      <c r="G2736" s="163"/>
      <c r="H2736" s="163"/>
    </row>
    <row r="2737" spans="4:8" ht="11.25" customHeight="1">
      <c r="D2737" s="163"/>
      <c r="E2737" s="163"/>
      <c r="F2737" s="163"/>
      <c r="G2737" s="163"/>
      <c r="H2737" s="163"/>
    </row>
    <row r="2738" spans="4:8" ht="11.25" customHeight="1">
      <c r="D2738" s="163"/>
      <c r="E2738" s="163"/>
      <c r="F2738" s="163"/>
      <c r="G2738" s="163"/>
      <c r="H2738" s="163"/>
    </row>
    <row r="2739" spans="4:8" ht="11.25" customHeight="1">
      <c r="D2739" s="163"/>
      <c r="E2739" s="163"/>
      <c r="F2739" s="163"/>
      <c r="G2739" s="163"/>
      <c r="H2739" s="163"/>
    </row>
    <row r="2740" spans="4:8" ht="11.25" customHeight="1">
      <c r="D2740" s="163"/>
      <c r="E2740" s="163"/>
      <c r="F2740" s="163"/>
      <c r="G2740" s="163"/>
      <c r="H2740" s="163"/>
    </row>
    <row r="2741" spans="4:8" ht="11.25" customHeight="1">
      <c r="D2741" s="163"/>
      <c r="E2741" s="163"/>
      <c r="F2741" s="163"/>
      <c r="G2741" s="163"/>
      <c r="H2741" s="163"/>
    </row>
    <row r="2742" spans="4:8" ht="11.25" customHeight="1">
      <c r="D2742" s="163"/>
      <c r="E2742" s="163"/>
      <c r="F2742" s="163"/>
      <c r="G2742" s="163"/>
      <c r="H2742" s="163"/>
    </row>
    <row r="2743" spans="4:8" ht="11.25" customHeight="1">
      <c r="D2743" s="163"/>
      <c r="E2743" s="163"/>
      <c r="F2743" s="163"/>
      <c r="G2743" s="163"/>
      <c r="H2743" s="163"/>
    </row>
    <row r="2744" spans="4:8" ht="11.25" customHeight="1">
      <c r="D2744" s="163"/>
      <c r="E2744" s="163"/>
      <c r="F2744" s="163"/>
      <c r="G2744" s="163"/>
      <c r="H2744" s="163"/>
    </row>
    <row r="2745" spans="4:8" ht="11.25" customHeight="1">
      <c r="D2745" s="163"/>
      <c r="E2745" s="163"/>
      <c r="F2745" s="163"/>
      <c r="G2745" s="163"/>
      <c r="H2745" s="163"/>
    </row>
    <row r="2746" spans="4:8" ht="11.25" customHeight="1">
      <c r="D2746" s="163"/>
      <c r="E2746" s="163"/>
      <c r="F2746" s="163"/>
      <c r="G2746" s="163"/>
      <c r="H2746" s="163"/>
    </row>
    <row r="2747" spans="4:8" ht="11.25" customHeight="1">
      <c r="D2747" s="163"/>
      <c r="E2747" s="163"/>
      <c r="F2747" s="163"/>
      <c r="G2747" s="163"/>
      <c r="H2747" s="163"/>
    </row>
    <row r="2748" spans="4:8" ht="11.25" customHeight="1">
      <c r="D2748" s="163"/>
      <c r="E2748" s="163"/>
      <c r="F2748" s="163"/>
      <c r="G2748" s="163"/>
      <c r="H2748" s="163"/>
    </row>
    <row r="2749" spans="4:8" ht="11.25" customHeight="1">
      <c r="D2749" s="163"/>
      <c r="E2749" s="163"/>
      <c r="F2749" s="163"/>
      <c r="G2749" s="163"/>
      <c r="H2749" s="163"/>
    </row>
    <row r="2750" spans="4:8" ht="11.25" customHeight="1">
      <c r="D2750" s="163"/>
      <c r="E2750" s="163"/>
      <c r="F2750" s="163"/>
      <c r="G2750" s="163"/>
      <c r="H2750" s="163"/>
    </row>
    <row r="2751" spans="4:8" ht="11.25" customHeight="1">
      <c r="D2751" s="163"/>
      <c r="E2751" s="163"/>
      <c r="F2751" s="163"/>
      <c r="G2751" s="163"/>
      <c r="H2751" s="163"/>
    </row>
    <row r="2752" spans="4:8" ht="11.25" customHeight="1">
      <c r="D2752" s="163"/>
      <c r="E2752" s="163"/>
      <c r="F2752" s="163"/>
      <c r="G2752" s="163"/>
      <c r="H2752" s="163"/>
    </row>
    <row r="2753" spans="4:8" ht="11.25" customHeight="1">
      <c r="D2753" s="163"/>
      <c r="E2753" s="163"/>
      <c r="F2753" s="163"/>
      <c r="G2753" s="163"/>
      <c r="H2753" s="163"/>
    </row>
    <row r="2754" spans="4:8" ht="11.25" customHeight="1">
      <c r="D2754" s="163"/>
      <c r="E2754" s="163"/>
      <c r="F2754" s="163"/>
      <c r="G2754" s="163"/>
      <c r="H2754" s="163"/>
    </row>
    <row r="2755" spans="4:8" ht="11.25" customHeight="1">
      <c r="D2755" s="163"/>
      <c r="E2755" s="163"/>
      <c r="F2755" s="163"/>
      <c r="G2755" s="163"/>
      <c r="H2755" s="163"/>
    </row>
    <row r="2756" spans="4:8" ht="11.25" customHeight="1">
      <c r="D2756" s="163"/>
      <c r="E2756" s="163"/>
      <c r="F2756" s="163"/>
      <c r="G2756" s="163"/>
      <c r="H2756" s="163"/>
    </row>
    <row r="2757" spans="4:8" ht="11.25" customHeight="1">
      <c r="D2757" s="163"/>
      <c r="E2757" s="163"/>
      <c r="F2757" s="163"/>
      <c r="G2757" s="163"/>
      <c r="H2757" s="163"/>
    </row>
    <row r="2758" spans="4:8" ht="11.25" customHeight="1">
      <c r="D2758" s="163"/>
      <c r="E2758" s="163"/>
      <c r="F2758" s="163"/>
      <c r="G2758" s="163"/>
      <c r="H2758" s="163"/>
    </row>
    <row r="2759" spans="4:8" ht="11.25" customHeight="1">
      <c r="D2759" s="163"/>
      <c r="E2759" s="163"/>
      <c r="F2759" s="163"/>
      <c r="G2759" s="163"/>
      <c r="H2759" s="163"/>
    </row>
    <row r="2760" spans="4:8" ht="11.25" customHeight="1">
      <c r="D2760" s="163"/>
      <c r="E2760" s="163"/>
      <c r="F2760" s="163"/>
      <c r="G2760" s="163"/>
      <c r="H2760" s="163"/>
    </row>
    <row r="2761" spans="4:8" ht="11.25" customHeight="1">
      <c r="D2761" s="163"/>
      <c r="E2761" s="163"/>
      <c r="F2761" s="163"/>
      <c r="G2761" s="163"/>
      <c r="H2761" s="163"/>
    </row>
    <row r="2762" spans="4:8" ht="11.25" customHeight="1">
      <c r="D2762" s="163"/>
      <c r="E2762" s="163"/>
      <c r="F2762" s="163"/>
      <c r="G2762" s="163"/>
      <c r="H2762" s="163"/>
    </row>
    <row r="2763" spans="4:8" ht="11.25" customHeight="1">
      <c r="D2763" s="163"/>
      <c r="E2763" s="163"/>
      <c r="F2763" s="163"/>
      <c r="G2763" s="163"/>
      <c r="H2763" s="163"/>
    </row>
    <row r="2764" spans="4:8" ht="11.25" customHeight="1">
      <c r="D2764" s="163"/>
      <c r="E2764" s="163"/>
      <c r="F2764" s="163"/>
      <c r="G2764" s="163"/>
      <c r="H2764" s="163"/>
    </row>
    <row r="2765" spans="4:8" ht="11.25" customHeight="1">
      <c r="D2765" s="163"/>
      <c r="E2765" s="163"/>
      <c r="F2765" s="163"/>
      <c r="G2765" s="163"/>
      <c r="H2765" s="163"/>
    </row>
    <row r="2766" spans="4:8" ht="11.25" customHeight="1">
      <c r="D2766" s="163"/>
      <c r="E2766" s="163"/>
      <c r="F2766" s="163"/>
      <c r="G2766" s="163"/>
      <c r="H2766" s="163"/>
    </row>
    <row r="2767" spans="4:8" ht="11.25" customHeight="1">
      <c r="D2767" s="163"/>
      <c r="E2767" s="163"/>
      <c r="F2767" s="163"/>
      <c r="G2767" s="163"/>
      <c r="H2767" s="163"/>
    </row>
    <row r="2768" spans="4:8" ht="11.25" customHeight="1">
      <c r="D2768" s="163"/>
      <c r="E2768" s="163"/>
      <c r="F2768" s="163"/>
      <c r="G2768" s="163"/>
      <c r="H2768" s="163"/>
    </row>
    <row r="2769" spans="4:8" ht="11.25" customHeight="1">
      <c r="D2769" s="163"/>
      <c r="E2769" s="163"/>
      <c r="F2769" s="163"/>
      <c r="G2769" s="163"/>
      <c r="H2769" s="163"/>
    </row>
    <row r="2770" spans="4:8" ht="11.25" customHeight="1">
      <c r="D2770" s="163"/>
      <c r="E2770" s="163"/>
      <c r="F2770" s="163"/>
      <c r="G2770" s="163"/>
      <c r="H2770" s="163"/>
    </row>
    <row r="2771" spans="4:8" ht="11.25" customHeight="1">
      <c r="D2771" s="163"/>
      <c r="E2771" s="163"/>
      <c r="F2771" s="163"/>
      <c r="G2771" s="163"/>
      <c r="H2771" s="163"/>
    </row>
    <row r="2772" spans="4:8" ht="11.25" customHeight="1">
      <c r="D2772" s="163"/>
      <c r="E2772" s="163"/>
      <c r="F2772" s="163"/>
      <c r="G2772" s="163"/>
      <c r="H2772" s="163"/>
    </row>
    <row r="2773" spans="4:8" ht="11.25" customHeight="1">
      <c r="D2773" s="163"/>
      <c r="E2773" s="163"/>
      <c r="F2773" s="163"/>
      <c r="G2773" s="163"/>
      <c r="H2773" s="163"/>
    </row>
    <row r="2774" spans="4:8" ht="11.25" customHeight="1">
      <c r="D2774" s="163"/>
      <c r="E2774" s="163"/>
      <c r="F2774" s="163"/>
      <c r="G2774" s="163"/>
      <c r="H2774" s="163"/>
    </row>
    <row r="2775" spans="4:8" ht="11.25" customHeight="1">
      <c r="D2775" s="163"/>
      <c r="E2775" s="163"/>
      <c r="F2775" s="163"/>
      <c r="G2775" s="163"/>
      <c r="H2775" s="163"/>
    </row>
    <row r="2776" spans="4:8" ht="11.25" customHeight="1">
      <c r="D2776" s="163"/>
      <c r="E2776" s="163"/>
      <c r="F2776" s="163"/>
      <c r="G2776" s="163"/>
      <c r="H2776" s="163"/>
    </row>
    <row r="2777" spans="4:8" ht="11.25" customHeight="1">
      <c r="D2777" s="163"/>
      <c r="E2777" s="163"/>
      <c r="F2777" s="163"/>
      <c r="G2777" s="163"/>
      <c r="H2777" s="163"/>
    </row>
    <row r="2778" spans="4:8" ht="11.25" customHeight="1">
      <c r="D2778" s="163"/>
      <c r="E2778" s="163"/>
      <c r="F2778" s="163"/>
      <c r="G2778" s="163"/>
      <c r="H2778" s="163"/>
    </row>
    <row r="2779" spans="4:8" ht="11.25" customHeight="1">
      <c r="D2779" s="163"/>
      <c r="E2779" s="163"/>
      <c r="F2779" s="163"/>
      <c r="G2779" s="163"/>
      <c r="H2779" s="163"/>
    </row>
    <row r="2780" spans="4:8" ht="11.25" customHeight="1">
      <c r="D2780" s="163"/>
      <c r="E2780" s="163"/>
      <c r="F2780" s="163"/>
      <c r="G2780" s="163"/>
      <c r="H2780" s="163"/>
    </row>
    <row r="2781" spans="4:8" ht="11.25" customHeight="1">
      <c r="D2781" s="163"/>
      <c r="E2781" s="163"/>
      <c r="F2781" s="163"/>
      <c r="G2781" s="163"/>
      <c r="H2781" s="163"/>
    </row>
    <row r="2782" spans="4:8" ht="11.25" customHeight="1">
      <c r="D2782" s="163"/>
      <c r="E2782" s="163"/>
      <c r="F2782" s="163"/>
      <c r="G2782" s="163"/>
      <c r="H2782" s="163"/>
    </row>
    <row r="2783" spans="4:8" ht="11.25" customHeight="1">
      <c r="D2783" s="163"/>
      <c r="E2783" s="163"/>
      <c r="F2783" s="163"/>
      <c r="G2783" s="163"/>
      <c r="H2783" s="163"/>
    </row>
    <row r="2784" spans="4:8" ht="11.25" customHeight="1">
      <c r="D2784" s="163"/>
      <c r="E2784" s="163"/>
      <c r="F2784" s="163"/>
      <c r="G2784" s="163"/>
      <c r="H2784" s="163"/>
    </row>
    <row r="2785" spans="4:8" ht="11.25" customHeight="1">
      <c r="D2785" s="163"/>
      <c r="E2785" s="163"/>
      <c r="F2785" s="163"/>
      <c r="G2785" s="163"/>
      <c r="H2785" s="163"/>
    </row>
    <row r="2786" spans="4:8" ht="11.25" customHeight="1">
      <c r="D2786" s="163"/>
      <c r="E2786" s="163"/>
      <c r="F2786" s="163"/>
      <c r="G2786" s="163"/>
      <c r="H2786" s="163"/>
    </row>
    <row r="2787" spans="4:8" ht="11.25" customHeight="1">
      <c r="D2787" s="163"/>
      <c r="E2787" s="163"/>
      <c r="F2787" s="163"/>
      <c r="G2787" s="163"/>
      <c r="H2787" s="163"/>
    </row>
    <row r="2788" spans="4:8" ht="11.25" customHeight="1">
      <c r="D2788" s="163"/>
      <c r="E2788" s="163"/>
      <c r="F2788" s="163"/>
      <c r="G2788" s="163"/>
      <c r="H2788" s="163"/>
    </row>
    <row r="2789" spans="4:8" ht="11.25" customHeight="1">
      <c r="D2789" s="163"/>
      <c r="E2789" s="163"/>
      <c r="F2789" s="163"/>
      <c r="G2789" s="163"/>
      <c r="H2789" s="163"/>
    </row>
    <row r="2790" spans="4:8" ht="11.25" customHeight="1">
      <c r="D2790" s="163"/>
      <c r="E2790" s="163"/>
      <c r="F2790" s="163"/>
      <c r="G2790" s="163"/>
      <c r="H2790" s="163"/>
    </row>
    <row r="2791" spans="4:8" ht="11.25" customHeight="1">
      <c r="D2791" s="163"/>
      <c r="E2791" s="163"/>
      <c r="F2791" s="163"/>
      <c r="G2791" s="163"/>
      <c r="H2791" s="163"/>
    </row>
    <row r="2792" spans="4:8" ht="11.25" customHeight="1">
      <c r="D2792" s="163"/>
      <c r="E2792" s="163"/>
      <c r="F2792" s="163"/>
      <c r="G2792" s="163"/>
      <c r="H2792" s="163"/>
    </row>
    <row r="2793" spans="4:8" ht="11.25" customHeight="1">
      <c r="D2793" s="163"/>
      <c r="E2793" s="163"/>
      <c r="F2793" s="163"/>
      <c r="G2793" s="163"/>
      <c r="H2793" s="163"/>
    </row>
    <row r="2794" spans="4:8" ht="11.25" customHeight="1">
      <c r="D2794" s="163"/>
      <c r="E2794" s="163"/>
      <c r="F2794" s="163"/>
      <c r="G2794" s="163"/>
      <c r="H2794" s="163"/>
    </row>
    <row r="2795" spans="4:8" ht="11.25" customHeight="1">
      <c r="D2795" s="163"/>
      <c r="E2795" s="163"/>
      <c r="F2795" s="163"/>
      <c r="G2795" s="163"/>
      <c r="H2795" s="163"/>
    </row>
    <row r="2796" spans="4:8" ht="11.25" customHeight="1">
      <c r="D2796" s="163"/>
      <c r="E2796" s="163"/>
      <c r="F2796" s="163"/>
      <c r="G2796" s="163"/>
      <c r="H2796" s="163"/>
    </row>
    <row r="2797" spans="4:8" ht="11.25" customHeight="1">
      <c r="D2797" s="163"/>
      <c r="E2797" s="163"/>
      <c r="F2797" s="163"/>
      <c r="G2797" s="163"/>
      <c r="H2797" s="163"/>
    </row>
    <row r="2798" spans="4:8" ht="11.25" customHeight="1">
      <c r="D2798" s="163"/>
      <c r="E2798" s="163"/>
      <c r="F2798" s="163"/>
      <c r="G2798" s="163"/>
      <c r="H2798" s="163"/>
    </row>
    <row r="2799" spans="4:8" ht="11.25" customHeight="1">
      <c r="D2799" s="163"/>
      <c r="E2799" s="163"/>
      <c r="F2799" s="163"/>
      <c r="G2799" s="163"/>
      <c r="H2799" s="163"/>
    </row>
    <row r="2800" spans="4:8" ht="11.25" customHeight="1">
      <c r="D2800" s="163"/>
      <c r="E2800" s="163"/>
      <c r="F2800" s="163"/>
      <c r="G2800" s="163"/>
      <c r="H2800" s="163"/>
    </row>
    <row r="2801" spans="4:8" ht="11.25" customHeight="1">
      <c r="D2801" s="163"/>
      <c r="E2801" s="163"/>
      <c r="F2801" s="163"/>
      <c r="G2801" s="163"/>
      <c r="H2801" s="163"/>
    </row>
    <row r="2802" spans="4:8" ht="11.25" customHeight="1">
      <c r="D2802" s="163"/>
      <c r="E2802" s="163"/>
      <c r="F2802" s="163"/>
      <c r="G2802" s="163"/>
      <c r="H2802" s="163"/>
    </row>
    <row r="2803" spans="4:8" ht="11.25" customHeight="1">
      <c r="D2803" s="163"/>
      <c r="E2803" s="163"/>
      <c r="F2803" s="163"/>
      <c r="G2803" s="163"/>
      <c r="H2803" s="163"/>
    </row>
    <row r="2804" spans="4:8" ht="11.25" customHeight="1">
      <c r="D2804" s="163"/>
      <c r="E2804" s="163"/>
      <c r="F2804" s="163"/>
      <c r="G2804" s="163"/>
      <c r="H2804" s="163"/>
    </row>
    <row r="2805" spans="4:8" ht="11.25" customHeight="1">
      <c r="D2805" s="163"/>
      <c r="E2805" s="163"/>
      <c r="F2805" s="163"/>
      <c r="G2805" s="163"/>
      <c r="H2805" s="163"/>
    </row>
    <row r="2806" spans="4:8" ht="11.25" customHeight="1">
      <c r="D2806" s="163"/>
      <c r="E2806" s="163"/>
      <c r="F2806" s="163"/>
      <c r="G2806" s="163"/>
      <c r="H2806" s="163"/>
    </row>
    <row r="2807" spans="4:8" ht="11.25" customHeight="1">
      <c r="D2807" s="163"/>
      <c r="E2807" s="163"/>
      <c r="F2807" s="163"/>
      <c r="G2807" s="163"/>
      <c r="H2807" s="163"/>
    </row>
    <row r="2808" spans="4:8" ht="11.25" customHeight="1">
      <c r="D2808" s="163"/>
      <c r="E2808" s="163"/>
      <c r="F2808" s="163"/>
      <c r="G2808" s="163"/>
      <c r="H2808" s="163"/>
    </row>
    <row r="2809" spans="4:8" ht="11.25" customHeight="1">
      <c r="D2809" s="163"/>
      <c r="E2809" s="163"/>
      <c r="F2809" s="163"/>
      <c r="G2809" s="163"/>
      <c r="H2809" s="163"/>
    </row>
    <row r="2810" spans="4:8" ht="11.25" customHeight="1">
      <c r="D2810" s="163"/>
      <c r="E2810" s="163"/>
      <c r="F2810" s="163"/>
      <c r="G2810" s="163"/>
      <c r="H2810" s="163"/>
    </row>
    <row r="2811" spans="4:8" ht="11.25" customHeight="1">
      <c r="D2811" s="163"/>
      <c r="E2811" s="163"/>
      <c r="F2811" s="163"/>
      <c r="G2811" s="163"/>
      <c r="H2811" s="163"/>
    </row>
    <row r="2812" spans="4:8" ht="11.25" customHeight="1">
      <c r="D2812" s="163"/>
      <c r="E2812" s="163"/>
      <c r="F2812" s="163"/>
      <c r="G2812" s="163"/>
      <c r="H2812" s="163"/>
    </row>
    <row r="2813" spans="4:8" ht="11.25" customHeight="1">
      <c r="D2813" s="163"/>
      <c r="E2813" s="163"/>
      <c r="F2813" s="163"/>
      <c r="G2813" s="163"/>
      <c r="H2813" s="163"/>
    </row>
    <row r="2814" spans="4:8" ht="11.25" customHeight="1">
      <c r="D2814" s="163"/>
      <c r="E2814" s="163"/>
      <c r="F2814" s="163"/>
      <c r="G2814" s="163"/>
      <c r="H2814" s="163"/>
    </row>
    <row r="2815" spans="4:8" ht="11.25" customHeight="1">
      <c r="D2815" s="163"/>
      <c r="E2815" s="163"/>
      <c r="F2815" s="163"/>
      <c r="G2815" s="163"/>
      <c r="H2815" s="163"/>
    </row>
    <row r="2816" spans="4:8" ht="11.25" customHeight="1">
      <c r="D2816" s="163"/>
      <c r="E2816" s="163"/>
      <c r="F2816" s="163"/>
      <c r="G2816" s="163"/>
      <c r="H2816" s="163"/>
    </row>
    <row r="2817" spans="4:8" ht="11.25" customHeight="1">
      <c r="D2817" s="163"/>
      <c r="E2817" s="163"/>
      <c r="F2817" s="163"/>
      <c r="G2817" s="163"/>
      <c r="H2817" s="163"/>
    </row>
    <row r="2818" spans="4:8" ht="11.25" customHeight="1">
      <c r="D2818" s="163"/>
      <c r="E2818" s="163"/>
      <c r="F2818" s="163"/>
      <c r="G2818" s="163"/>
      <c r="H2818" s="163"/>
    </row>
    <row r="2819" spans="4:8" ht="11.25" customHeight="1">
      <c r="D2819" s="163"/>
      <c r="E2819" s="163"/>
      <c r="F2819" s="163"/>
      <c r="G2819" s="163"/>
      <c r="H2819" s="163"/>
    </row>
    <row r="2820" spans="4:8" ht="11.25" customHeight="1">
      <c r="D2820" s="163"/>
      <c r="E2820" s="163"/>
      <c r="F2820" s="163"/>
      <c r="G2820" s="163"/>
      <c r="H2820" s="163"/>
    </row>
    <row r="2821" spans="4:8" ht="11.25" customHeight="1">
      <c r="D2821" s="163"/>
      <c r="E2821" s="163"/>
      <c r="F2821" s="163"/>
      <c r="G2821" s="163"/>
      <c r="H2821" s="163"/>
    </row>
    <row r="2822" spans="4:8" ht="11.25" customHeight="1">
      <c r="D2822" s="163"/>
      <c r="E2822" s="163"/>
      <c r="F2822" s="163"/>
      <c r="G2822" s="163"/>
      <c r="H2822" s="163"/>
    </row>
    <row r="2823" spans="4:8" ht="11.25" customHeight="1">
      <c r="D2823" s="163"/>
      <c r="E2823" s="163"/>
      <c r="F2823" s="163"/>
      <c r="G2823" s="163"/>
      <c r="H2823" s="163"/>
    </row>
    <row r="2824" spans="4:8" ht="11.25" customHeight="1">
      <c r="D2824" s="163"/>
      <c r="E2824" s="163"/>
      <c r="F2824" s="163"/>
      <c r="G2824" s="163"/>
      <c r="H2824" s="163"/>
    </row>
    <row r="2825" spans="4:8" ht="11.25" customHeight="1">
      <c r="D2825" s="163"/>
      <c r="E2825" s="163"/>
      <c r="F2825" s="163"/>
      <c r="G2825" s="163"/>
      <c r="H2825" s="163"/>
    </row>
    <row r="2826" spans="4:8" ht="11.25" customHeight="1">
      <c r="D2826" s="163"/>
      <c r="E2826" s="163"/>
      <c r="F2826" s="163"/>
      <c r="G2826" s="163"/>
      <c r="H2826" s="163"/>
    </row>
    <row r="2827" spans="4:8" ht="11.25" customHeight="1">
      <c r="D2827" s="163"/>
      <c r="E2827" s="163"/>
      <c r="F2827" s="163"/>
      <c r="G2827" s="163"/>
      <c r="H2827" s="163"/>
    </row>
    <row r="2828" spans="4:8" ht="11.25" customHeight="1">
      <c r="D2828" s="163"/>
      <c r="E2828" s="163"/>
      <c r="F2828" s="163"/>
      <c r="G2828" s="163"/>
      <c r="H2828" s="163"/>
    </row>
    <row r="2829" spans="4:8" ht="11.25" customHeight="1">
      <c r="D2829" s="163"/>
      <c r="E2829" s="163"/>
      <c r="F2829" s="163"/>
      <c r="G2829" s="163"/>
      <c r="H2829" s="163"/>
    </row>
    <row r="2830" spans="4:8" ht="11.25" customHeight="1">
      <c r="D2830" s="163"/>
      <c r="E2830" s="163"/>
      <c r="F2830" s="163"/>
      <c r="G2830" s="163"/>
      <c r="H2830" s="163"/>
    </row>
    <row r="2831" spans="4:8" ht="11.25" customHeight="1">
      <c r="D2831" s="163"/>
      <c r="E2831" s="163"/>
      <c r="F2831" s="163"/>
      <c r="G2831" s="163"/>
      <c r="H2831" s="163"/>
    </row>
    <row r="2832" spans="4:8" ht="11.25" customHeight="1">
      <c r="D2832" s="163"/>
      <c r="E2832" s="163"/>
      <c r="F2832" s="163"/>
      <c r="G2832" s="163"/>
      <c r="H2832" s="163"/>
    </row>
    <row r="2833" spans="4:8" ht="11.25" customHeight="1">
      <c r="D2833" s="163"/>
      <c r="E2833" s="163"/>
      <c r="F2833" s="163"/>
      <c r="G2833" s="163"/>
      <c r="H2833" s="163"/>
    </row>
    <row r="2834" spans="4:8" ht="11.25" customHeight="1">
      <c r="D2834" s="163"/>
      <c r="E2834" s="163"/>
      <c r="F2834" s="163"/>
      <c r="G2834" s="163"/>
      <c r="H2834" s="163"/>
    </row>
    <row r="2835" spans="4:8" ht="11.25" customHeight="1">
      <c r="D2835" s="163"/>
      <c r="E2835" s="163"/>
      <c r="F2835" s="163"/>
      <c r="G2835" s="163"/>
      <c r="H2835" s="163"/>
    </row>
    <row r="2836" spans="4:8" ht="11.25" customHeight="1">
      <c r="D2836" s="163"/>
      <c r="E2836" s="163"/>
      <c r="F2836" s="163"/>
      <c r="G2836" s="163"/>
      <c r="H2836" s="163"/>
    </row>
    <row r="2837" spans="4:8" ht="11.25" customHeight="1">
      <c r="D2837" s="163"/>
      <c r="E2837" s="163"/>
      <c r="F2837" s="163"/>
      <c r="G2837" s="163"/>
      <c r="H2837" s="163"/>
    </row>
    <row r="2838" spans="4:8" ht="11.25" customHeight="1">
      <c r="D2838" s="163"/>
      <c r="E2838" s="163"/>
      <c r="F2838" s="163"/>
      <c r="G2838" s="163"/>
      <c r="H2838" s="163"/>
    </row>
    <row r="2839" spans="4:8" ht="11.25" customHeight="1">
      <c r="D2839" s="163"/>
      <c r="E2839" s="163"/>
      <c r="F2839" s="163"/>
      <c r="G2839" s="163"/>
      <c r="H2839" s="163"/>
    </row>
    <row r="2840" spans="4:8" ht="11.25" customHeight="1">
      <c r="D2840" s="163"/>
      <c r="E2840" s="163"/>
      <c r="F2840" s="163"/>
      <c r="G2840" s="163"/>
      <c r="H2840" s="163"/>
    </row>
    <row r="2841" spans="4:8" ht="11.25" customHeight="1">
      <c r="D2841" s="163"/>
      <c r="E2841" s="163"/>
      <c r="F2841" s="163"/>
      <c r="G2841" s="163"/>
      <c r="H2841" s="163"/>
    </row>
    <row r="2842" spans="4:8" ht="11.25" customHeight="1">
      <c r="D2842" s="163"/>
      <c r="E2842" s="163"/>
      <c r="F2842" s="163"/>
      <c r="G2842" s="163"/>
      <c r="H2842" s="163"/>
    </row>
    <row r="2843" spans="4:8" ht="11.25" customHeight="1">
      <c r="D2843" s="163"/>
      <c r="E2843" s="163"/>
      <c r="F2843" s="163"/>
      <c r="G2843" s="163"/>
      <c r="H2843" s="163"/>
    </row>
    <row r="2844" spans="4:8" ht="11.25" customHeight="1">
      <c r="D2844" s="163"/>
      <c r="E2844" s="163"/>
      <c r="F2844" s="163"/>
      <c r="G2844" s="163"/>
      <c r="H2844" s="163"/>
    </row>
    <row r="2845" spans="4:8" ht="11.25" customHeight="1">
      <c r="D2845" s="163"/>
      <c r="E2845" s="163"/>
      <c r="F2845" s="163"/>
      <c r="G2845" s="163"/>
      <c r="H2845" s="163"/>
    </row>
    <row r="2846" spans="4:8" ht="11.25" customHeight="1">
      <c r="D2846" s="163"/>
      <c r="E2846" s="163"/>
      <c r="F2846" s="163"/>
      <c r="G2846" s="163"/>
      <c r="H2846" s="163"/>
    </row>
    <row r="2847" spans="4:8" ht="11.25" customHeight="1">
      <c r="D2847" s="163"/>
      <c r="E2847" s="163"/>
      <c r="F2847" s="163"/>
      <c r="G2847" s="163"/>
      <c r="H2847" s="163"/>
    </row>
    <row r="2848" spans="4:8" ht="11.25" customHeight="1">
      <c r="D2848" s="163"/>
      <c r="E2848" s="163"/>
      <c r="F2848" s="163"/>
      <c r="G2848" s="163"/>
      <c r="H2848" s="163"/>
    </row>
    <row r="2849" spans="4:8" ht="11.25" customHeight="1">
      <c r="D2849" s="163"/>
      <c r="E2849" s="163"/>
      <c r="F2849" s="163"/>
      <c r="G2849" s="163"/>
      <c r="H2849" s="163"/>
    </row>
    <row r="2850" spans="4:8" ht="11.25" customHeight="1">
      <c r="D2850" s="163"/>
      <c r="E2850" s="163"/>
      <c r="F2850" s="163"/>
      <c r="G2850" s="163"/>
      <c r="H2850" s="163"/>
    </row>
    <row r="2851" spans="4:8" ht="11.25" customHeight="1">
      <c r="D2851" s="163"/>
      <c r="E2851" s="163"/>
      <c r="F2851" s="163"/>
      <c r="G2851" s="163"/>
      <c r="H2851" s="163"/>
    </row>
    <row r="2852" spans="4:8" ht="11.25" customHeight="1">
      <c r="D2852" s="163"/>
      <c r="E2852" s="163"/>
      <c r="F2852" s="163"/>
      <c r="G2852" s="163"/>
      <c r="H2852" s="163"/>
    </row>
    <row r="2853" spans="4:8" ht="11.25" customHeight="1">
      <c r="D2853" s="163"/>
      <c r="E2853" s="163"/>
      <c r="F2853" s="163"/>
      <c r="G2853" s="163"/>
      <c r="H2853" s="163"/>
    </row>
    <row r="2854" spans="4:8" ht="11.25" customHeight="1">
      <c r="D2854" s="163"/>
      <c r="E2854" s="163"/>
      <c r="F2854" s="163"/>
      <c r="G2854" s="163"/>
      <c r="H2854" s="163"/>
    </row>
    <row r="2855" spans="4:8" ht="11.25" customHeight="1">
      <c r="D2855" s="163"/>
      <c r="E2855" s="163"/>
      <c r="F2855" s="163"/>
      <c r="G2855" s="163"/>
      <c r="H2855" s="163"/>
    </row>
    <row r="2856" spans="4:8" ht="11.25" customHeight="1">
      <c r="D2856" s="163"/>
      <c r="E2856" s="163"/>
      <c r="F2856" s="163"/>
      <c r="G2856" s="163"/>
      <c r="H2856" s="163"/>
    </row>
    <row r="2857" spans="4:8" ht="11.25" customHeight="1">
      <c r="D2857" s="163"/>
      <c r="E2857" s="163"/>
      <c r="F2857" s="163"/>
      <c r="G2857" s="163"/>
      <c r="H2857" s="163"/>
    </row>
    <row r="2858" spans="4:8" ht="11.25" customHeight="1">
      <c r="D2858" s="163"/>
      <c r="E2858" s="163"/>
      <c r="F2858" s="163"/>
      <c r="G2858" s="163"/>
      <c r="H2858" s="163"/>
    </row>
    <row r="2859" spans="4:8" ht="11.25" customHeight="1">
      <c r="D2859" s="163"/>
      <c r="E2859" s="163"/>
      <c r="F2859" s="163"/>
      <c r="G2859" s="163"/>
      <c r="H2859" s="163"/>
    </row>
    <row r="2860" spans="4:8" ht="11.25" customHeight="1">
      <c r="D2860" s="163"/>
      <c r="E2860" s="163"/>
      <c r="F2860" s="163"/>
      <c r="G2860" s="163"/>
      <c r="H2860" s="163"/>
    </row>
    <row r="2861" spans="4:8" ht="11.25" customHeight="1">
      <c r="D2861" s="163"/>
      <c r="E2861" s="163"/>
      <c r="F2861" s="163"/>
      <c r="G2861" s="163"/>
      <c r="H2861" s="163"/>
    </row>
    <row r="2862" spans="4:8" ht="11.25" customHeight="1">
      <c r="D2862" s="163"/>
      <c r="E2862" s="163"/>
      <c r="F2862" s="163"/>
      <c r="G2862" s="163"/>
      <c r="H2862" s="163"/>
    </row>
    <row r="2863" spans="4:8" ht="11.25" customHeight="1">
      <c r="D2863" s="163"/>
      <c r="E2863" s="163"/>
      <c r="F2863" s="163"/>
      <c r="G2863" s="163"/>
      <c r="H2863" s="163"/>
    </row>
    <row r="2864" spans="4:8" ht="11.25" customHeight="1">
      <c r="D2864" s="163"/>
      <c r="E2864" s="163"/>
      <c r="F2864" s="163"/>
      <c r="G2864" s="163"/>
      <c r="H2864" s="163"/>
    </row>
    <row r="2865" spans="4:8" ht="11.25" customHeight="1">
      <c r="D2865" s="163"/>
      <c r="E2865" s="163"/>
      <c r="F2865" s="163"/>
      <c r="G2865" s="163"/>
      <c r="H2865" s="163"/>
    </row>
    <row r="2866" spans="4:8" ht="11.25" customHeight="1">
      <c r="D2866" s="163"/>
      <c r="E2866" s="163"/>
      <c r="F2866" s="163"/>
      <c r="G2866" s="163"/>
      <c r="H2866" s="163"/>
    </row>
    <row r="2867" spans="4:8" ht="11.25" customHeight="1">
      <c r="D2867" s="163"/>
      <c r="E2867" s="163"/>
      <c r="F2867" s="163"/>
      <c r="G2867" s="163"/>
      <c r="H2867" s="163"/>
    </row>
    <row r="2868" spans="4:8" ht="11.25" customHeight="1">
      <c r="D2868" s="163"/>
      <c r="E2868" s="163"/>
      <c r="F2868" s="163"/>
      <c r="G2868" s="163"/>
      <c r="H2868" s="163"/>
    </row>
    <row r="2869" spans="4:8" ht="11.25" customHeight="1">
      <c r="D2869" s="163"/>
      <c r="E2869" s="163"/>
      <c r="F2869" s="163"/>
      <c r="G2869" s="163"/>
      <c r="H2869" s="163"/>
    </row>
    <row r="2870" spans="4:8" ht="11.25" customHeight="1">
      <c r="D2870" s="163"/>
      <c r="E2870" s="163"/>
      <c r="F2870" s="163"/>
      <c r="G2870" s="163"/>
      <c r="H2870" s="163"/>
    </row>
    <row r="2871" spans="4:8" ht="11.25" customHeight="1">
      <c r="D2871" s="163"/>
      <c r="E2871" s="163"/>
      <c r="F2871" s="163"/>
      <c r="G2871" s="163"/>
      <c r="H2871" s="163"/>
    </row>
    <row r="2872" spans="4:8" ht="11.25" customHeight="1">
      <c r="D2872" s="163"/>
      <c r="E2872" s="163"/>
      <c r="F2872" s="163"/>
      <c r="G2872" s="163"/>
      <c r="H2872" s="163"/>
    </row>
    <row r="2873" spans="4:8" ht="11.25" customHeight="1">
      <c r="D2873" s="163"/>
      <c r="E2873" s="163"/>
      <c r="F2873" s="163"/>
      <c r="G2873" s="163"/>
      <c r="H2873" s="163"/>
    </row>
    <row r="2874" spans="4:8" ht="11.25" customHeight="1">
      <c r="D2874" s="163"/>
      <c r="E2874" s="163"/>
      <c r="F2874" s="163"/>
      <c r="G2874" s="163"/>
      <c r="H2874" s="163"/>
    </row>
    <row r="2875" spans="4:8" ht="11.25" customHeight="1">
      <c r="D2875" s="163"/>
      <c r="E2875" s="163"/>
      <c r="F2875" s="163"/>
      <c r="G2875" s="163"/>
      <c r="H2875" s="163"/>
    </row>
    <row r="2876" spans="4:8" ht="11.25" customHeight="1">
      <c r="D2876" s="163"/>
      <c r="E2876" s="163"/>
      <c r="F2876" s="163"/>
      <c r="G2876" s="163"/>
      <c r="H2876" s="163"/>
    </row>
    <row r="2877" spans="4:8" ht="11.25" customHeight="1">
      <c r="D2877" s="163"/>
      <c r="E2877" s="163"/>
      <c r="F2877" s="163"/>
      <c r="G2877" s="163"/>
      <c r="H2877" s="163"/>
    </row>
    <row r="2878" spans="4:8" ht="11.25" customHeight="1">
      <c r="D2878" s="163"/>
      <c r="E2878" s="163"/>
      <c r="F2878" s="163"/>
      <c r="G2878" s="163"/>
      <c r="H2878" s="163"/>
    </row>
    <row r="2879" spans="4:8" ht="11.25" customHeight="1">
      <c r="D2879" s="163"/>
      <c r="E2879" s="163"/>
      <c r="F2879" s="163"/>
      <c r="G2879" s="163"/>
      <c r="H2879" s="163"/>
    </row>
    <row r="2880" spans="4:8" ht="11.25" customHeight="1">
      <c r="D2880" s="163"/>
      <c r="E2880" s="163"/>
      <c r="F2880" s="163"/>
      <c r="G2880" s="163"/>
      <c r="H2880" s="163"/>
    </row>
    <row r="2881" spans="4:8" ht="11.25" customHeight="1">
      <c r="D2881" s="163"/>
      <c r="E2881" s="163"/>
      <c r="F2881" s="163"/>
      <c r="G2881" s="163"/>
      <c r="H2881" s="163"/>
    </row>
    <row r="2882" spans="4:8" ht="11.25" customHeight="1">
      <c r="D2882" s="163"/>
      <c r="E2882" s="163"/>
      <c r="F2882" s="163"/>
      <c r="G2882" s="163"/>
      <c r="H2882" s="163"/>
    </row>
    <row r="2883" spans="4:8" ht="11.25" customHeight="1">
      <c r="D2883" s="163"/>
      <c r="E2883" s="163"/>
      <c r="F2883" s="163"/>
      <c r="G2883" s="163"/>
      <c r="H2883" s="163"/>
    </row>
    <row r="2884" spans="4:8" ht="11.25" customHeight="1">
      <c r="D2884" s="163"/>
      <c r="E2884" s="163"/>
      <c r="F2884" s="163"/>
      <c r="G2884" s="163"/>
      <c r="H2884" s="163"/>
    </row>
    <row r="2885" spans="4:8" ht="11.25" customHeight="1">
      <c r="D2885" s="163"/>
      <c r="E2885" s="163"/>
      <c r="F2885" s="163"/>
      <c r="G2885" s="163"/>
      <c r="H2885" s="163"/>
    </row>
    <row r="2886" spans="4:8" ht="11.25" customHeight="1">
      <c r="D2886" s="163"/>
      <c r="E2886" s="163"/>
      <c r="F2886" s="163"/>
      <c r="G2886" s="163"/>
      <c r="H2886" s="163"/>
    </row>
    <row r="2887" spans="4:8" ht="11.25" customHeight="1">
      <c r="D2887" s="163"/>
      <c r="E2887" s="163"/>
      <c r="F2887" s="163"/>
      <c r="G2887" s="163"/>
      <c r="H2887" s="163"/>
    </row>
    <row r="2888" spans="4:8" ht="11.25" customHeight="1">
      <c r="D2888" s="163"/>
      <c r="E2888" s="163"/>
      <c r="F2888" s="163"/>
      <c r="G2888" s="163"/>
      <c r="H2888" s="163"/>
    </row>
    <row r="2889" spans="4:8" ht="11.25" customHeight="1">
      <c r="D2889" s="163"/>
      <c r="E2889" s="163"/>
      <c r="F2889" s="163"/>
      <c r="G2889" s="163"/>
      <c r="H2889" s="163"/>
    </row>
    <row r="2890" spans="4:8" ht="11.25" customHeight="1">
      <c r="D2890" s="163"/>
      <c r="E2890" s="163"/>
      <c r="F2890" s="163"/>
      <c r="G2890" s="163"/>
      <c r="H2890" s="163"/>
    </row>
    <row r="2891" spans="4:8" ht="11.25" customHeight="1">
      <c r="D2891" s="163"/>
      <c r="E2891" s="163"/>
      <c r="F2891" s="163"/>
      <c r="G2891" s="163"/>
      <c r="H2891" s="163"/>
    </row>
    <row r="2892" spans="4:8" ht="11.25" customHeight="1">
      <c r="D2892" s="163"/>
      <c r="E2892" s="163"/>
      <c r="F2892" s="163"/>
      <c r="G2892" s="163"/>
      <c r="H2892" s="163"/>
    </row>
    <row r="2893" spans="4:8" ht="11.25" customHeight="1">
      <c r="D2893" s="163"/>
      <c r="E2893" s="163"/>
      <c r="F2893" s="163"/>
      <c r="G2893" s="163"/>
      <c r="H2893" s="163"/>
    </row>
    <row r="2894" spans="4:8" ht="11.25" customHeight="1">
      <c r="D2894" s="163"/>
      <c r="E2894" s="163"/>
      <c r="F2894" s="163"/>
      <c r="G2894" s="163"/>
      <c r="H2894" s="163"/>
    </row>
    <row r="2895" spans="4:8" ht="11.25" customHeight="1">
      <c r="D2895" s="163"/>
      <c r="E2895" s="163"/>
      <c r="F2895" s="163"/>
      <c r="G2895" s="163"/>
      <c r="H2895" s="163"/>
    </row>
    <row r="2896" spans="4:8" ht="11.25" customHeight="1">
      <c r="D2896" s="163"/>
      <c r="E2896" s="163"/>
      <c r="F2896" s="163"/>
      <c r="G2896" s="163"/>
      <c r="H2896" s="163"/>
    </row>
    <row r="2897" spans="4:8" ht="11.25" customHeight="1">
      <c r="D2897" s="163"/>
      <c r="E2897" s="163"/>
      <c r="F2897" s="163"/>
      <c r="G2897" s="163"/>
      <c r="H2897" s="163"/>
    </row>
    <row r="2898" spans="4:8" ht="11.25" customHeight="1">
      <c r="D2898" s="163"/>
      <c r="E2898" s="163"/>
      <c r="F2898" s="163"/>
      <c r="G2898" s="163"/>
      <c r="H2898" s="163"/>
    </row>
    <row r="2899" spans="4:8" ht="11.25" customHeight="1">
      <c r="D2899" s="163"/>
      <c r="E2899" s="163"/>
      <c r="F2899" s="163"/>
      <c r="G2899" s="163"/>
      <c r="H2899" s="163"/>
    </row>
    <row r="2900" spans="4:8" ht="11.25" customHeight="1">
      <c r="D2900" s="163"/>
      <c r="E2900" s="163"/>
      <c r="F2900" s="163"/>
      <c r="G2900" s="163"/>
      <c r="H2900" s="163"/>
    </row>
    <row r="2901" spans="4:8" ht="11.25" customHeight="1">
      <c r="D2901" s="163"/>
      <c r="E2901" s="163"/>
      <c r="F2901" s="163"/>
      <c r="G2901" s="163"/>
      <c r="H2901" s="163"/>
    </row>
    <row r="2902" spans="4:8" ht="11.25" customHeight="1">
      <c r="D2902" s="163"/>
      <c r="E2902" s="163"/>
      <c r="F2902" s="163"/>
      <c r="G2902" s="163"/>
      <c r="H2902" s="163"/>
    </row>
    <row r="2903" spans="4:8" ht="11.25" customHeight="1">
      <c r="D2903" s="163"/>
      <c r="E2903" s="163"/>
      <c r="F2903" s="163"/>
      <c r="G2903" s="163"/>
      <c r="H2903" s="163"/>
    </row>
    <row r="2904" spans="4:8" ht="11.25" customHeight="1">
      <c r="D2904" s="163"/>
      <c r="E2904" s="163"/>
      <c r="F2904" s="163"/>
      <c r="G2904" s="163"/>
      <c r="H2904" s="163"/>
    </row>
    <row r="2905" spans="4:8" ht="11.25" customHeight="1">
      <c r="D2905" s="163"/>
      <c r="E2905" s="163"/>
      <c r="F2905" s="163"/>
      <c r="G2905" s="163"/>
      <c r="H2905" s="163"/>
    </row>
    <row r="2906" spans="4:8" ht="11.25" customHeight="1">
      <c r="D2906" s="163"/>
      <c r="E2906" s="163"/>
      <c r="F2906" s="163"/>
      <c r="G2906" s="163"/>
      <c r="H2906" s="163"/>
    </row>
    <row r="2907" spans="4:8" ht="11.25" customHeight="1">
      <c r="D2907" s="163"/>
      <c r="E2907" s="163"/>
      <c r="F2907" s="163"/>
      <c r="G2907" s="163"/>
      <c r="H2907" s="163"/>
    </row>
    <row r="2908" spans="4:8" ht="11.25" customHeight="1">
      <c r="D2908" s="163"/>
      <c r="E2908" s="163"/>
      <c r="F2908" s="163"/>
      <c r="G2908" s="163"/>
      <c r="H2908" s="163"/>
    </row>
    <row r="2909" spans="4:8" ht="11.25" customHeight="1">
      <c r="D2909" s="163"/>
      <c r="E2909" s="163"/>
      <c r="F2909" s="163"/>
      <c r="G2909" s="163"/>
      <c r="H2909" s="163"/>
    </row>
    <row r="2910" spans="4:8" ht="11.25" customHeight="1">
      <c r="D2910" s="163"/>
      <c r="E2910" s="163"/>
      <c r="F2910" s="163"/>
      <c r="G2910" s="163"/>
      <c r="H2910" s="163"/>
    </row>
    <row r="2911" spans="4:8" ht="11.25" customHeight="1">
      <c r="D2911" s="163"/>
      <c r="E2911" s="163"/>
      <c r="F2911" s="163"/>
      <c r="G2911" s="163"/>
      <c r="H2911" s="163"/>
    </row>
    <row r="2912" spans="4:8" ht="11.25" customHeight="1">
      <c r="D2912" s="163"/>
      <c r="E2912" s="163"/>
      <c r="F2912" s="163"/>
      <c r="G2912" s="163"/>
      <c r="H2912" s="163"/>
    </row>
    <row r="2913" spans="4:8" ht="11.25" customHeight="1">
      <c r="D2913" s="163"/>
      <c r="E2913" s="163"/>
      <c r="F2913" s="163"/>
      <c r="G2913" s="163"/>
      <c r="H2913" s="163"/>
    </row>
    <row r="2914" spans="4:8" ht="11.25" customHeight="1">
      <c r="D2914" s="163"/>
      <c r="E2914" s="163"/>
      <c r="F2914" s="163"/>
      <c r="G2914" s="163"/>
      <c r="H2914" s="163"/>
    </row>
    <row r="2915" spans="4:8" ht="11.25" customHeight="1">
      <c r="D2915" s="163"/>
      <c r="E2915" s="163"/>
      <c r="F2915" s="163"/>
      <c r="G2915" s="163"/>
      <c r="H2915" s="163"/>
    </row>
    <row r="2916" spans="4:8" ht="11.25" customHeight="1">
      <c r="D2916" s="163"/>
      <c r="E2916" s="163"/>
      <c r="F2916" s="163"/>
      <c r="G2916" s="163"/>
      <c r="H2916" s="163"/>
    </row>
    <row r="2917" spans="4:8" ht="11.25" customHeight="1">
      <c r="D2917" s="163"/>
      <c r="E2917" s="163"/>
      <c r="F2917" s="163"/>
      <c r="G2917" s="163"/>
      <c r="H2917" s="163"/>
    </row>
    <row r="2918" spans="4:8" ht="11.25" customHeight="1">
      <c r="D2918" s="163"/>
      <c r="E2918" s="163"/>
      <c r="F2918" s="163"/>
      <c r="G2918" s="163"/>
      <c r="H2918" s="163"/>
    </row>
    <row r="2919" spans="4:8" ht="11.25" customHeight="1">
      <c r="D2919" s="163"/>
      <c r="E2919" s="163"/>
      <c r="F2919" s="163"/>
      <c r="G2919" s="163"/>
      <c r="H2919" s="163"/>
    </row>
    <row r="2920" spans="4:8" ht="11.25" customHeight="1">
      <c r="D2920" s="163"/>
      <c r="E2920" s="163"/>
      <c r="F2920" s="163"/>
      <c r="G2920" s="163"/>
      <c r="H2920" s="163"/>
    </row>
    <row r="2921" spans="4:8" ht="11.25" customHeight="1">
      <c r="D2921" s="163"/>
      <c r="E2921" s="163"/>
      <c r="F2921" s="163"/>
      <c r="G2921" s="163"/>
      <c r="H2921" s="163"/>
    </row>
    <row r="2922" spans="4:8" ht="11.25" customHeight="1">
      <c r="D2922" s="163"/>
      <c r="E2922" s="163"/>
      <c r="F2922" s="163"/>
      <c r="G2922" s="163"/>
      <c r="H2922" s="163"/>
    </row>
    <row r="2923" spans="4:8" ht="11.25" customHeight="1">
      <c r="D2923" s="163"/>
      <c r="E2923" s="163"/>
      <c r="F2923" s="163"/>
      <c r="G2923" s="163"/>
      <c r="H2923" s="163"/>
    </row>
    <row r="2924" spans="4:8" ht="11.25" customHeight="1">
      <c r="D2924" s="163"/>
      <c r="E2924" s="163"/>
      <c r="F2924" s="163"/>
      <c r="G2924" s="163"/>
      <c r="H2924" s="163"/>
    </row>
    <row r="2925" spans="4:8" ht="11.25" customHeight="1">
      <c r="D2925" s="163"/>
      <c r="E2925" s="163"/>
      <c r="F2925" s="163"/>
      <c r="G2925" s="163"/>
      <c r="H2925" s="163"/>
    </row>
    <row r="2926" spans="4:8" ht="11.25" customHeight="1">
      <c r="D2926" s="163"/>
      <c r="E2926" s="163"/>
      <c r="F2926" s="163"/>
      <c r="G2926" s="163"/>
      <c r="H2926" s="163"/>
    </row>
    <row r="2927" spans="4:8" ht="11.25" customHeight="1">
      <c r="D2927" s="163"/>
      <c r="E2927" s="163"/>
      <c r="F2927" s="163"/>
      <c r="G2927" s="163"/>
      <c r="H2927" s="163"/>
    </row>
    <row r="2928" spans="4:8" ht="11.25" customHeight="1">
      <c r="D2928" s="163"/>
      <c r="E2928" s="163"/>
      <c r="F2928" s="163"/>
      <c r="G2928" s="163"/>
      <c r="H2928" s="163"/>
    </row>
    <row r="2929" spans="4:8" ht="11.25" customHeight="1">
      <c r="D2929" s="163"/>
      <c r="E2929" s="163"/>
      <c r="F2929" s="163"/>
      <c r="G2929" s="163"/>
      <c r="H2929" s="163"/>
    </row>
    <row r="2930" spans="4:8" ht="11.25" customHeight="1">
      <c r="D2930" s="163"/>
      <c r="E2930" s="163"/>
      <c r="F2930" s="163"/>
      <c r="G2930" s="163"/>
      <c r="H2930" s="163"/>
    </row>
    <row r="2931" spans="4:8" ht="11.25" customHeight="1">
      <c r="D2931" s="163"/>
      <c r="E2931" s="163"/>
      <c r="F2931" s="163"/>
      <c r="G2931" s="163"/>
      <c r="H2931" s="163"/>
    </row>
    <row r="2932" spans="4:8" ht="11.25" customHeight="1">
      <c r="D2932" s="163"/>
      <c r="E2932" s="163"/>
      <c r="F2932" s="163"/>
      <c r="G2932" s="163"/>
      <c r="H2932" s="163"/>
    </row>
    <row r="2933" spans="4:8" ht="11.25" customHeight="1">
      <c r="D2933" s="163"/>
      <c r="E2933" s="163"/>
      <c r="F2933" s="163"/>
      <c r="G2933" s="163"/>
      <c r="H2933" s="163"/>
    </row>
    <row r="2934" spans="4:8" ht="11.25" customHeight="1">
      <c r="D2934" s="163"/>
      <c r="E2934" s="163"/>
      <c r="F2934" s="163"/>
      <c r="G2934" s="163"/>
      <c r="H2934" s="163"/>
    </row>
    <row r="2935" spans="4:8" ht="11.25" customHeight="1">
      <c r="D2935" s="163"/>
      <c r="E2935" s="163"/>
      <c r="F2935" s="163"/>
      <c r="G2935" s="163"/>
      <c r="H2935" s="163"/>
    </row>
    <row r="2936" spans="4:8" ht="11.25" customHeight="1">
      <c r="D2936" s="163"/>
      <c r="E2936" s="163"/>
      <c r="F2936" s="163"/>
      <c r="G2936" s="163"/>
      <c r="H2936" s="163"/>
    </row>
    <row r="2937" spans="4:8" ht="11.25" customHeight="1">
      <c r="D2937" s="163"/>
      <c r="E2937" s="163"/>
      <c r="F2937" s="163"/>
      <c r="G2937" s="163"/>
      <c r="H2937" s="163"/>
    </row>
    <row r="2938" spans="4:8" ht="11.25" customHeight="1">
      <c r="D2938" s="163"/>
      <c r="E2938" s="163"/>
      <c r="F2938" s="163"/>
      <c r="G2938" s="163"/>
      <c r="H2938" s="163"/>
    </row>
    <row r="2939" spans="4:8" ht="11.25" customHeight="1">
      <c r="D2939" s="163"/>
      <c r="E2939" s="163"/>
      <c r="F2939" s="163"/>
      <c r="G2939" s="163"/>
      <c r="H2939" s="163"/>
    </row>
    <row r="2940" spans="4:8" ht="11.25" customHeight="1">
      <c r="D2940" s="163"/>
      <c r="E2940" s="163"/>
      <c r="F2940" s="163"/>
      <c r="G2940" s="163"/>
      <c r="H2940" s="163"/>
    </row>
    <row r="2941" spans="4:8" ht="11.25" customHeight="1">
      <c r="D2941" s="163"/>
      <c r="E2941" s="163"/>
      <c r="F2941" s="163"/>
      <c r="G2941" s="163"/>
      <c r="H2941" s="163"/>
    </row>
    <row r="2942" spans="4:8" ht="11.25" customHeight="1">
      <c r="D2942" s="163"/>
      <c r="E2942" s="163"/>
      <c r="F2942" s="163"/>
      <c r="G2942" s="163"/>
      <c r="H2942" s="163"/>
    </row>
    <row r="2943" spans="4:8" ht="11.25" customHeight="1">
      <c r="D2943" s="163"/>
      <c r="E2943" s="163"/>
      <c r="F2943" s="163"/>
      <c r="G2943" s="163"/>
      <c r="H2943" s="163"/>
    </row>
    <row r="2944" spans="4:8" ht="11.25" customHeight="1">
      <c r="D2944" s="163"/>
      <c r="E2944" s="163"/>
      <c r="F2944" s="163"/>
      <c r="G2944" s="163"/>
      <c r="H2944" s="163"/>
    </row>
    <row r="2945" spans="4:8" ht="11.25" customHeight="1">
      <c r="D2945" s="163"/>
      <c r="E2945" s="163"/>
      <c r="F2945" s="163"/>
      <c r="G2945" s="163"/>
      <c r="H2945" s="163"/>
    </row>
    <row r="2946" spans="4:8" ht="11.25" customHeight="1">
      <c r="D2946" s="163"/>
      <c r="E2946" s="163"/>
      <c r="F2946" s="163"/>
      <c r="G2946" s="163"/>
      <c r="H2946" s="163"/>
    </row>
    <row r="2947" spans="4:8" ht="11.25" customHeight="1">
      <c r="D2947" s="163"/>
      <c r="E2947" s="163"/>
      <c r="F2947" s="163"/>
      <c r="G2947" s="163"/>
      <c r="H2947" s="163"/>
    </row>
    <row r="2948" spans="4:8" ht="11.25" customHeight="1">
      <c r="D2948" s="163"/>
      <c r="E2948" s="163"/>
      <c r="F2948" s="163"/>
      <c r="G2948" s="163"/>
      <c r="H2948" s="163"/>
    </row>
    <row r="2949" spans="4:8" ht="11.25" customHeight="1">
      <c r="D2949" s="163"/>
      <c r="E2949" s="163"/>
      <c r="F2949" s="163"/>
      <c r="G2949" s="163"/>
      <c r="H2949" s="163"/>
    </row>
    <row r="2950" spans="4:8" ht="11.25" customHeight="1">
      <c r="D2950" s="163"/>
      <c r="E2950" s="163"/>
      <c r="F2950" s="163"/>
      <c r="G2950" s="163"/>
      <c r="H2950" s="163"/>
    </row>
    <row r="2951" spans="4:8" ht="11.25" customHeight="1">
      <c r="D2951" s="163"/>
      <c r="E2951" s="163"/>
      <c r="F2951" s="163"/>
      <c r="G2951" s="163"/>
      <c r="H2951" s="163"/>
    </row>
    <row r="2952" spans="4:8" ht="11.25" customHeight="1">
      <c r="D2952" s="163"/>
      <c r="E2952" s="163"/>
      <c r="F2952" s="163"/>
      <c r="G2952" s="163"/>
      <c r="H2952" s="163"/>
    </row>
    <row r="2953" spans="4:8" ht="11.25" customHeight="1">
      <c r="D2953" s="163"/>
      <c r="E2953" s="163"/>
      <c r="F2953" s="163"/>
      <c r="G2953" s="163"/>
      <c r="H2953" s="163"/>
    </row>
    <row r="2954" spans="4:8" ht="11.25" customHeight="1">
      <c r="D2954" s="163"/>
      <c r="E2954" s="163"/>
      <c r="F2954" s="163"/>
      <c r="G2954" s="163"/>
      <c r="H2954" s="163"/>
    </row>
    <row r="2955" spans="4:8" ht="11.25" customHeight="1">
      <c r="D2955" s="163"/>
      <c r="E2955" s="163"/>
      <c r="F2955" s="163"/>
      <c r="G2955" s="163"/>
      <c r="H2955" s="163"/>
    </row>
    <row r="2956" spans="4:8" ht="11.25" customHeight="1">
      <c r="D2956" s="163"/>
      <c r="E2956" s="163"/>
      <c r="F2956" s="163"/>
      <c r="G2956" s="163"/>
      <c r="H2956" s="163"/>
    </row>
    <row r="2957" spans="4:8" ht="11.25" customHeight="1">
      <c r="D2957" s="163"/>
      <c r="E2957" s="163"/>
      <c r="F2957" s="163"/>
      <c r="G2957" s="163"/>
      <c r="H2957" s="163"/>
    </row>
    <row r="2958" spans="4:8" ht="11.25" customHeight="1">
      <c r="D2958" s="163"/>
      <c r="E2958" s="163"/>
      <c r="F2958" s="163"/>
      <c r="G2958" s="163"/>
      <c r="H2958" s="163"/>
    </row>
    <row r="2959" spans="4:8" ht="11.25" customHeight="1">
      <c r="D2959" s="163"/>
      <c r="E2959" s="163"/>
      <c r="F2959" s="163"/>
      <c r="G2959" s="163"/>
      <c r="H2959" s="163"/>
    </row>
    <row r="2960" spans="4:8" ht="11.25" customHeight="1">
      <c r="D2960" s="163"/>
      <c r="E2960" s="163"/>
      <c r="F2960" s="163"/>
      <c r="G2960" s="163"/>
      <c r="H2960" s="163"/>
    </row>
    <row r="2961" spans="4:8" ht="11.25" customHeight="1">
      <c r="D2961" s="163"/>
      <c r="E2961" s="163"/>
      <c r="F2961" s="163"/>
      <c r="G2961" s="163"/>
      <c r="H2961" s="163"/>
    </row>
    <row r="2962" spans="4:8" ht="11.25" customHeight="1">
      <c r="D2962" s="163"/>
      <c r="E2962" s="163"/>
      <c r="F2962" s="163"/>
      <c r="G2962" s="163"/>
      <c r="H2962" s="163"/>
    </row>
    <row r="2963" spans="4:8" ht="11.25" customHeight="1">
      <c r="D2963" s="163"/>
      <c r="E2963" s="163"/>
      <c r="F2963" s="163"/>
      <c r="G2963" s="163"/>
      <c r="H2963" s="163"/>
    </row>
    <row r="2964" spans="4:8" ht="11.25" customHeight="1">
      <c r="D2964" s="163"/>
      <c r="E2964" s="163"/>
      <c r="F2964" s="163"/>
      <c r="G2964" s="163"/>
      <c r="H2964" s="163"/>
    </row>
    <row r="2965" spans="4:8" ht="11.25" customHeight="1">
      <c r="D2965" s="163"/>
      <c r="E2965" s="163"/>
      <c r="F2965" s="163"/>
      <c r="G2965" s="163"/>
      <c r="H2965" s="163"/>
    </row>
    <row r="2966" spans="4:8" ht="11.25" customHeight="1">
      <c r="D2966" s="163"/>
      <c r="E2966" s="163"/>
      <c r="F2966" s="163"/>
      <c r="G2966" s="163"/>
      <c r="H2966" s="163"/>
    </row>
    <row r="2967" spans="4:8" ht="11.25" customHeight="1">
      <c r="D2967" s="163"/>
      <c r="E2967" s="163"/>
      <c r="F2967" s="163"/>
      <c r="G2967" s="163"/>
      <c r="H2967" s="163"/>
    </row>
    <row r="2968" spans="4:8" ht="11.25" customHeight="1">
      <c r="D2968" s="163"/>
      <c r="E2968" s="163"/>
      <c r="F2968" s="163"/>
      <c r="G2968" s="163"/>
      <c r="H2968" s="163"/>
    </row>
    <row r="2969" spans="4:8" ht="11.25" customHeight="1">
      <c r="D2969" s="163"/>
      <c r="E2969" s="163"/>
      <c r="F2969" s="163"/>
      <c r="G2969" s="163"/>
      <c r="H2969" s="163"/>
    </row>
    <row r="2970" spans="4:8" ht="11.25" customHeight="1">
      <c r="D2970" s="163"/>
      <c r="E2970" s="163"/>
      <c r="F2970" s="163"/>
      <c r="G2970" s="163"/>
      <c r="H2970" s="163"/>
    </row>
    <row r="2971" spans="4:8" ht="11.25" customHeight="1">
      <c r="D2971" s="163"/>
      <c r="E2971" s="163"/>
      <c r="F2971" s="163"/>
      <c r="G2971" s="163"/>
      <c r="H2971" s="163"/>
    </row>
    <row r="2972" spans="4:8" ht="11.25" customHeight="1">
      <c r="D2972" s="163"/>
      <c r="E2972" s="163"/>
      <c r="F2972" s="163"/>
      <c r="G2972" s="163"/>
      <c r="H2972" s="163"/>
    </row>
    <row r="2973" spans="4:8" ht="11.25" customHeight="1">
      <c r="D2973" s="163"/>
      <c r="E2973" s="163"/>
      <c r="F2973" s="163"/>
      <c r="G2973" s="163"/>
      <c r="H2973" s="163"/>
    </row>
    <row r="2974" spans="4:8" ht="11.25" customHeight="1">
      <c r="D2974" s="163"/>
      <c r="E2974" s="163"/>
      <c r="F2974" s="163"/>
      <c r="G2974" s="163"/>
      <c r="H2974" s="163"/>
    </row>
    <row r="2975" spans="4:8" ht="11.25" customHeight="1">
      <c r="D2975" s="163"/>
      <c r="E2975" s="163"/>
      <c r="F2975" s="163"/>
      <c r="G2975" s="163"/>
      <c r="H2975" s="163"/>
    </row>
    <row r="2976" spans="4:8" ht="11.25" customHeight="1">
      <c r="D2976" s="163"/>
      <c r="E2976" s="163"/>
      <c r="F2976" s="163"/>
      <c r="G2976" s="163"/>
      <c r="H2976" s="163"/>
    </row>
    <row r="2977" spans="4:8" ht="11.25" customHeight="1">
      <c r="D2977" s="163"/>
      <c r="E2977" s="163"/>
      <c r="F2977" s="163"/>
      <c r="G2977" s="163"/>
      <c r="H2977" s="163"/>
    </row>
    <row r="2978" spans="4:8" ht="11.25" customHeight="1">
      <c r="D2978" s="163"/>
      <c r="E2978" s="163"/>
      <c r="F2978" s="163"/>
      <c r="G2978" s="163"/>
      <c r="H2978" s="163"/>
    </row>
    <row r="2979" spans="4:8" ht="11.25" customHeight="1">
      <c r="D2979" s="163"/>
      <c r="E2979" s="163"/>
      <c r="F2979" s="163"/>
      <c r="G2979" s="163"/>
      <c r="H2979" s="163"/>
    </row>
    <row r="2980" spans="4:8" ht="11.25" customHeight="1">
      <c r="D2980" s="163"/>
      <c r="E2980" s="163"/>
      <c r="F2980" s="163"/>
      <c r="G2980" s="163"/>
      <c r="H2980" s="163"/>
    </row>
    <row r="2981" spans="4:8" ht="11.25" customHeight="1">
      <c r="D2981" s="163"/>
      <c r="E2981" s="163"/>
      <c r="F2981" s="163"/>
      <c r="G2981" s="163"/>
      <c r="H2981" s="163"/>
    </row>
    <row r="2982" spans="4:8" ht="11.25" customHeight="1">
      <c r="D2982" s="163"/>
      <c r="E2982" s="163"/>
      <c r="F2982" s="163"/>
      <c r="G2982" s="163"/>
      <c r="H2982" s="163"/>
    </row>
    <row r="2983" spans="4:8" ht="11.25" customHeight="1">
      <c r="D2983" s="163"/>
      <c r="E2983" s="163"/>
      <c r="F2983" s="163"/>
      <c r="G2983" s="163"/>
      <c r="H2983" s="163"/>
    </row>
    <row r="2984" spans="4:8" ht="11.25" customHeight="1">
      <c r="D2984" s="163"/>
      <c r="E2984" s="163"/>
      <c r="F2984" s="163"/>
      <c r="G2984" s="163"/>
      <c r="H2984" s="163"/>
    </row>
    <row r="2985" spans="4:8" ht="11.25" customHeight="1">
      <c r="D2985" s="163"/>
      <c r="E2985" s="163"/>
      <c r="F2985" s="163"/>
      <c r="G2985" s="163"/>
      <c r="H2985" s="163"/>
    </row>
    <row r="2986" spans="4:8" ht="11.25" customHeight="1">
      <c r="D2986" s="163"/>
      <c r="E2986" s="163"/>
      <c r="F2986" s="163"/>
      <c r="G2986" s="163"/>
      <c r="H2986" s="163"/>
    </row>
    <row r="2987" spans="4:8" ht="11.25" customHeight="1">
      <c r="D2987" s="163"/>
      <c r="E2987" s="163"/>
      <c r="F2987" s="163"/>
      <c r="G2987" s="163"/>
      <c r="H2987" s="163"/>
    </row>
    <row r="2988" spans="4:8" ht="11.25" customHeight="1">
      <c r="D2988" s="163"/>
      <c r="E2988" s="163"/>
      <c r="F2988" s="163"/>
      <c r="G2988" s="163"/>
      <c r="H2988" s="163"/>
    </row>
    <row r="2989" spans="4:8" ht="11.25" customHeight="1">
      <c r="D2989" s="163"/>
      <c r="E2989" s="163"/>
      <c r="F2989" s="163"/>
      <c r="G2989" s="163"/>
      <c r="H2989" s="163"/>
    </row>
    <row r="2990" spans="4:8" ht="11.25" customHeight="1">
      <c r="D2990" s="163"/>
      <c r="E2990" s="163"/>
      <c r="F2990" s="163"/>
      <c r="G2990" s="163"/>
      <c r="H2990" s="163"/>
    </row>
    <row r="2991" spans="4:8" ht="11.25" customHeight="1">
      <c r="D2991" s="163"/>
      <c r="E2991" s="163"/>
      <c r="F2991" s="163"/>
      <c r="G2991" s="163"/>
      <c r="H2991" s="163"/>
    </row>
    <row r="2992" spans="4:8" ht="11.25" customHeight="1">
      <c r="D2992" s="163"/>
      <c r="E2992" s="163"/>
      <c r="F2992" s="163"/>
      <c r="G2992" s="163"/>
      <c r="H2992" s="163"/>
    </row>
    <row r="2993" spans="4:8" ht="11.25" customHeight="1">
      <c r="D2993" s="163"/>
      <c r="E2993" s="163"/>
      <c r="F2993" s="163"/>
      <c r="G2993" s="163"/>
      <c r="H2993" s="163"/>
    </row>
    <row r="2994" spans="4:8" ht="11.25" customHeight="1">
      <c r="D2994" s="163"/>
      <c r="E2994" s="163"/>
      <c r="F2994" s="163"/>
      <c r="G2994" s="163"/>
      <c r="H2994" s="163"/>
    </row>
    <row r="2995" spans="4:8" ht="11.25" customHeight="1">
      <c r="D2995" s="163"/>
      <c r="E2995" s="163"/>
      <c r="F2995" s="163"/>
      <c r="G2995" s="163"/>
      <c r="H2995" s="163"/>
    </row>
    <row r="2996" spans="4:8" ht="11.25" customHeight="1">
      <c r="D2996" s="163"/>
      <c r="E2996" s="163"/>
      <c r="F2996" s="163"/>
      <c r="G2996" s="163"/>
      <c r="H2996" s="163"/>
    </row>
    <row r="2997" spans="4:8" ht="11.25" customHeight="1">
      <c r="D2997" s="163"/>
      <c r="E2997" s="163"/>
      <c r="F2997" s="163"/>
      <c r="G2997" s="163"/>
      <c r="H2997" s="163"/>
    </row>
    <row r="2998" spans="4:8" ht="11.25" customHeight="1">
      <c r="D2998" s="163"/>
      <c r="E2998" s="163"/>
      <c r="F2998" s="163"/>
      <c r="G2998" s="163"/>
      <c r="H2998" s="163"/>
    </row>
    <row r="2999" spans="4:8" ht="11.25" customHeight="1">
      <c r="D2999" s="163"/>
      <c r="E2999" s="163"/>
      <c r="F2999" s="163"/>
      <c r="G2999" s="163"/>
      <c r="H2999" s="163"/>
    </row>
    <row r="3000" spans="4:8" ht="11.25" customHeight="1">
      <c r="D3000" s="163"/>
      <c r="E3000" s="163"/>
      <c r="F3000" s="163"/>
      <c r="G3000" s="163"/>
      <c r="H3000" s="163"/>
    </row>
    <row r="3001" spans="4:8" ht="11.25" customHeight="1">
      <c r="D3001" s="163"/>
      <c r="E3001" s="163"/>
      <c r="F3001" s="163"/>
      <c r="G3001" s="163"/>
      <c r="H3001" s="163"/>
    </row>
    <row r="3002" spans="4:8" ht="11.25" customHeight="1">
      <c r="D3002" s="163"/>
      <c r="E3002" s="163"/>
      <c r="F3002" s="163"/>
      <c r="G3002" s="163"/>
      <c r="H3002" s="163"/>
    </row>
    <row r="3003" spans="4:8" ht="11.25" customHeight="1">
      <c r="D3003" s="163"/>
      <c r="E3003" s="163"/>
      <c r="F3003" s="163"/>
      <c r="G3003" s="163"/>
      <c r="H3003" s="163"/>
    </row>
    <row r="3004" spans="4:8" ht="11.25" customHeight="1">
      <c r="D3004" s="163"/>
      <c r="E3004" s="163"/>
      <c r="F3004" s="163"/>
      <c r="G3004" s="163"/>
      <c r="H3004" s="163"/>
    </row>
    <row r="3005" spans="4:8" ht="11.25" customHeight="1">
      <c r="D3005" s="163"/>
      <c r="E3005" s="163"/>
      <c r="F3005" s="163"/>
      <c r="G3005" s="163"/>
      <c r="H3005" s="163"/>
    </row>
    <row r="3006" spans="4:8" ht="11.25" customHeight="1">
      <c r="D3006" s="163"/>
      <c r="E3006" s="163"/>
      <c r="F3006" s="163"/>
      <c r="G3006" s="163"/>
      <c r="H3006" s="163"/>
    </row>
    <row r="3007" spans="4:8" ht="11.25" customHeight="1">
      <c r="D3007" s="163"/>
      <c r="E3007" s="163"/>
      <c r="F3007" s="163"/>
      <c r="G3007" s="163"/>
      <c r="H3007" s="163"/>
    </row>
    <row r="3008" spans="4:8" ht="11.25" customHeight="1">
      <c r="D3008" s="163"/>
      <c r="E3008" s="163"/>
      <c r="F3008" s="163"/>
      <c r="G3008" s="163"/>
      <c r="H3008" s="163"/>
    </row>
    <row r="3009" spans="4:8" ht="11.25" customHeight="1">
      <c r="D3009" s="163"/>
      <c r="E3009" s="163"/>
      <c r="F3009" s="163"/>
      <c r="G3009" s="163"/>
      <c r="H3009" s="163"/>
    </row>
    <row r="3010" spans="4:8" ht="11.25" customHeight="1">
      <c r="D3010" s="163"/>
      <c r="E3010" s="163"/>
      <c r="F3010" s="163"/>
      <c r="G3010" s="163"/>
      <c r="H3010" s="163"/>
    </row>
    <row r="3011" spans="4:8" ht="11.25" customHeight="1">
      <c r="D3011" s="163"/>
      <c r="E3011" s="163"/>
      <c r="F3011" s="163"/>
      <c r="G3011" s="163"/>
      <c r="H3011" s="163"/>
    </row>
    <row r="3012" spans="4:8" ht="11.25" customHeight="1">
      <c r="D3012" s="163"/>
      <c r="E3012" s="163"/>
      <c r="F3012" s="163"/>
      <c r="G3012" s="163"/>
      <c r="H3012" s="163"/>
    </row>
    <row r="3013" spans="4:8" ht="11.25" customHeight="1">
      <c r="D3013" s="163"/>
      <c r="E3013" s="163"/>
      <c r="F3013" s="163"/>
      <c r="G3013" s="163"/>
      <c r="H3013" s="163"/>
    </row>
    <row r="3014" spans="4:8" ht="11.25" customHeight="1">
      <c r="D3014" s="163"/>
      <c r="E3014" s="163"/>
      <c r="F3014" s="163"/>
      <c r="G3014" s="163"/>
      <c r="H3014" s="163"/>
    </row>
    <row r="3015" spans="4:8" ht="11.25" customHeight="1">
      <c r="D3015" s="163"/>
      <c r="E3015" s="163"/>
      <c r="F3015" s="163"/>
      <c r="G3015" s="163"/>
      <c r="H3015" s="163"/>
    </row>
    <row r="3016" spans="4:8" ht="11.25" customHeight="1">
      <c r="D3016" s="163"/>
      <c r="E3016" s="163"/>
      <c r="F3016" s="163"/>
      <c r="G3016" s="163"/>
      <c r="H3016" s="163"/>
    </row>
    <row r="3017" spans="4:8" ht="11.25" customHeight="1">
      <c r="D3017" s="163"/>
      <c r="E3017" s="163"/>
      <c r="F3017" s="163"/>
      <c r="G3017" s="163"/>
      <c r="H3017" s="163"/>
    </row>
    <row r="3018" spans="4:8" ht="11.25" customHeight="1">
      <c r="D3018" s="163"/>
      <c r="E3018" s="163"/>
      <c r="F3018" s="163"/>
      <c r="G3018" s="163"/>
      <c r="H3018" s="163"/>
    </row>
    <row r="3019" spans="4:8" ht="11.25" customHeight="1">
      <c r="D3019" s="163"/>
      <c r="E3019" s="163"/>
      <c r="F3019" s="163"/>
      <c r="G3019" s="163"/>
      <c r="H3019" s="163"/>
    </row>
    <row r="3020" spans="4:8" ht="11.25" customHeight="1">
      <c r="D3020" s="163"/>
      <c r="E3020" s="163"/>
      <c r="F3020" s="163"/>
      <c r="G3020" s="163"/>
      <c r="H3020" s="163"/>
    </row>
    <row r="3021" spans="4:8" ht="11.25" customHeight="1">
      <c r="D3021" s="163"/>
      <c r="E3021" s="163"/>
      <c r="F3021" s="163"/>
      <c r="G3021" s="163"/>
      <c r="H3021" s="163"/>
    </row>
    <row r="3022" spans="4:8" ht="11.25" customHeight="1">
      <c r="D3022" s="163"/>
      <c r="E3022" s="163"/>
      <c r="F3022" s="163"/>
      <c r="G3022" s="163"/>
      <c r="H3022" s="163"/>
    </row>
    <row r="3023" spans="4:8" ht="11.25" customHeight="1">
      <c r="D3023" s="163"/>
      <c r="E3023" s="163"/>
      <c r="F3023" s="163"/>
      <c r="G3023" s="163"/>
      <c r="H3023" s="163"/>
    </row>
    <row r="3024" spans="4:8" ht="11.25" customHeight="1">
      <c r="D3024" s="163"/>
      <c r="E3024" s="163"/>
      <c r="F3024" s="163"/>
      <c r="G3024" s="163"/>
      <c r="H3024" s="163"/>
    </row>
    <row r="3025" spans="4:8" ht="11.25" customHeight="1">
      <c r="D3025" s="163"/>
      <c r="E3025" s="163"/>
      <c r="F3025" s="163"/>
      <c r="G3025" s="163"/>
      <c r="H3025" s="163"/>
    </row>
    <row r="3026" spans="4:8" ht="11.25" customHeight="1">
      <c r="D3026" s="163"/>
      <c r="E3026" s="163"/>
      <c r="F3026" s="163"/>
      <c r="G3026" s="163"/>
      <c r="H3026" s="163"/>
    </row>
    <row r="3027" spans="4:8" ht="11.25" customHeight="1">
      <c r="D3027" s="163"/>
      <c r="E3027" s="163"/>
      <c r="F3027" s="163"/>
      <c r="G3027" s="163"/>
      <c r="H3027" s="163"/>
    </row>
    <row r="3028" spans="4:8" ht="11.25" customHeight="1">
      <c r="D3028" s="163"/>
      <c r="E3028" s="163"/>
      <c r="F3028" s="163"/>
      <c r="G3028" s="163"/>
      <c r="H3028" s="163"/>
    </row>
    <row r="3029" spans="4:8" ht="11.25" customHeight="1">
      <c r="D3029" s="163"/>
      <c r="E3029" s="163"/>
      <c r="F3029" s="163"/>
      <c r="G3029" s="163"/>
      <c r="H3029" s="163"/>
    </row>
    <row r="3030" spans="4:8" ht="11.25" customHeight="1">
      <c r="D3030" s="163"/>
      <c r="E3030" s="163"/>
      <c r="F3030" s="163"/>
      <c r="G3030" s="163"/>
      <c r="H3030" s="163"/>
    </row>
    <row r="3031" spans="4:8" ht="11.25" customHeight="1">
      <c r="D3031" s="163"/>
      <c r="E3031" s="163"/>
      <c r="F3031" s="163"/>
      <c r="G3031" s="163"/>
      <c r="H3031" s="163"/>
    </row>
    <row r="3032" spans="4:8" ht="11.25" customHeight="1">
      <c r="D3032" s="163"/>
      <c r="E3032" s="163"/>
      <c r="F3032" s="163"/>
      <c r="G3032" s="163"/>
      <c r="H3032" s="163"/>
    </row>
    <row r="3033" spans="4:8" ht="11.25" customHeight="1">
      <c r="D3033" s="163"/>
      <c r="E3033" s="163"/>
      <c r="F3033" s="163"/>
      <c r="G3033" s="163"/>
      <c r="H3033" s="163"/>
    </row>
    <row r="3034" spans="4:8" ht="11.25" customHeight="1">
      <c r="D3034" s="163"/>
      <c r="E3034" s="163"/>
      <c r="F3034" s="163"/>
      <c r="G3034" s="163"/>
      <c r="H3034" s="163"/>
    </row>
    <row r="3035" spans="4:8" ht="11.25" customHeight="1">
      <c r="D3035" s="163"/>
      <c r="E3035" s="163"/>
      <c r="F3035" s="163"/>
      <c r="G3035" s="163"/>
      <c r="H3035" s="163"/>
    </row>
    <row r="3036" spans="4:8" ht="11.25" customHeight="1">
      <c r="D3036" s="163"/>
      <c r="E3036" s="163"/>
      <c r="F3036" s="163"/>
      <c r="G3036" s="163"/>
      <c r="H3036" s="163"/>
    </row>
    <row r="3037" spans="4:8" ht="11.25" customHeight="1">
      <c r="D3037" s="163"/>
      <c r="E3037" s="163"/>
      <c r="F3037" s="163"/>
      <c r="G3037" s="163"/>
      <c r="H3037" s="163"/>
    </row>
    <row r="3038" spans="4:8" ht="11.25" customHeight="1">
      <c r="D3038" s="163"/>
      <c r="E3038" s="163"/>
      <c r="F3038" s="163"/>
      <c r="G3038" s="163"/>
      <c r="H3038" s="163"/>
    </row>
    <row r="3039" spans="4:8" ht="11.25" customHeight="1">
      <c r="D3039" s="163"/>
      <c r="E3039" s="163"/>
      <c r="F3039" s="163"/>
      <c r="G3039" s="163"/>
      <c r="H3039" s="163"/>
    </row>
    <row r="3040" spans="4:8" ht="11.25" customHeight="1">
      <c r="D3040" s="163"/>
      <c r="E3040" s="163"/>
      <c r="F3040" s="163"/>
      <c r="G3040" s="163"/>
      <c r="H3040" s="163"/>
    </row>
    <row r="3041" spans="4:8" ht="11.25" customHeight="1">
      <c r="D3041" s="163"/>
      <c r="E3041" s="163"/>
      <c r="F3041" s="163"/>
      <c r="G3041" s="163"/>
      <c r="H3041" s="163"/>
    </row>
    <row r="3042" spans="4:8" ht="11.25" customHeight="1">
      <c r="D3042" s="163"/>
      <c r="E3042" s="163"/>
      <c r="F3042" s="163"/>
      <c r="G3042" s="163"/>
      <c r="H3042" s="163"/>
    </row>
    <row r="3043" spans="4:8" ht="11.25" customHeight="1">
      <c r="D3043" s="163"/>
      <c r="E3043" s="163"/>
      <c r="F3043" s="163"/>
      <c r="G3043" s="163"/>
      <c r="H3043" s="163"/>
    </row>
    <row r="3044" spans="4:8" ht="11.25" customHeight="1">
      <c r="D3044" s="163"/>
      <c r="E3044" s="163"/>
      <c r="F3044" s="163"/>
      <c r="G3044" s="163"/>
      <c r="H3044" s="163"/>
    </row>
    <row r="3045" spans="4:8" ht="11.25" customHeight="1">
      <c r="D3045" s="163"/>
      <c r="E3045" s="163"/>
      <c r="F3045" s="163"/>
      <c r="G3045" s="163"/>
      <c r="H3045" s="163"/>
    </row>
    <row r="3046" spans="4:8" ht="11.25" customHeight="1">
      <c r="D3046" s="163"/>
      <c r="E3046" s="163"/>
      <c r="F3046" s="163"/>
      <c r="G3046" s="163"/>
      <c r="H3046" s="163"/>
    </row>
    <row r="3047" spans="4:8" ht="11.25" customHeight="1">
      <c r="D3047" s="163"/>
      <c r="E3047" s="163"/>
      <c r="F3047" s="163"/>
      <c r="G3047" s="163"/>
      <c r="H3047" s="163"/>
    </row>
    <row r="3048" spans="4:8" ht="11.25" customHeight="1">
      <c r="D3048" s="163"/>
      <c r="E3048" s="163"/>
      <c r="F3048" s="163"/>
      <c r="G3048" s="163"/>
      <c r="H3048" s="163"/>
    </row>
    <row r="3049" spans="4:8" ht="11.25" customHeight="1">
      <c r="D3049" s="163"/>
      <c r="E3049" s="163"/>
      <c r="F3049" s="163"/>
      <c r="G3049" s="163"/>
      <c r="H3049" s="163"/>
    </row>
    <row r="3050" spans="4:8" ht="11.25" customHeight="1">
      <c r="D3050" s="163"/>
      <c r="E3050" s="163"/>
      <c r="F3050" s="163"/>
      <c r="G3050" s="163"/>
      <c r="H3050" s="163"/>
    </row>
    <row r="3051" spans="4:8" ht="11.25" customHeight="1">
      <c r="D3051" s="163"/>
      <c r="E3051" s="163"/>
      <c r="F3051" s="163"/>
      <c r="G3051" s="163"/>
      <c r="H3051" s="163"/>
    </row>
    <row r="3052" spans="4:8" ht="11.25" customHeight="1">
      <c r="D3052" s="163"/>
      <c r="E3052" s="163"/>
      <c r="F3052" s="163"/>
      <c r="G3052" s="163"/>
      <c r="H3052" s="163"/>
    </row>
    <row r="3053" spans="4:8" ht="11.25" customHeight="1">
      <c r="D3053" s="163"/>
      <c r="E3053" s="163"/>
      <c r="F3053" s="163"/>
      <c r="G3053" s="163"/>
      <c r="H3053" s="163"/>
    </row>
    <row r="3054" spans="4:8" ht="11.25" customHeight="1">
      <c r="D3054" s="163"/>
      <c r="E3054" s="163"/>
      <c r="F3054" s="163"/>
      <c r="G3054" s="163"/>
      <c r="H3054" s="163"/>
    </row>
    <row r="3055" spans="4:8" ht="11.25" customHeight="1">
      <c r="D3055" s="163"/>
      <c r="E3055" s="163"/>
      <c r="F3055" s="163"/>
      <c r="G3055" s="163"/>
      <c r="H3055" s="163"/>
    </row>
    <row r="3056" spans="4:8" ht="11.25" customHeight="1">
      <c r="D3056" s="163"/>
      <c r="E3056" s="163"/>
      <c r="F3056" s="163"/>
      <c r="G3056" s="163"/>
      <c r="H3056" s="163"/>
    </row>
    <row r="3057" spans="4:8" ht="11.25" customHeight="1">
      <c r="D3057" s="163"/>
      <c r="E3057" s="163"/>
      <c r="F3057" s="163"/>
      <c r="G3057" s="163"/>
      <c r="H3057" s="163"/>
    </row>
    <row r="3058" spans="4:8" ht="11.25" customHeight="1">
      <c r="D3058" s="163"/>
      <c r="E3058" s="163"/>
      <c r="F3058" s="163"/>
      <c r="G3058" s="163"/>
      <c r="H3058" s="163"/>
    </row>
    <row r="3059" spans="4:8" ht="11.25" customHeight="1">
      <c r="D3059" s="163"/>
      <c r="E3059" s="163"/>
      <c r="F3059" s="163"/>
      <c r="G3059" s="163"/>
      <c r="H3059" s="163"/>
    </row>
    <row r="3060" spans="4:8" ht="11.25" customHeight="1">
      <c r="D3060" s="163"/>
      <c r="E3060" s="163"/>
      <c r="F3060" s="163"/>
      <c r="G3060" s="163"/>
      <c r="H3060" s="163"/>
    </row>
    <row r="3061" spans="4:8" ht="11.25" customHeight="1">
      <c r="D3061" s="163"/>
      <c r="E3061" s="163"/>
      <c r="F3061" s="163"/>
      <c r="G3061" s="163"/>
      <c r="H3061" s="163"/>
    </row>
    <row r="3062" spans="4:8" ht="11.25" customHeight="1">
      <c r="D3062" s="163"/>
      <c r="E3062" s="163"/>
      <c r="F3062" s="163"/>
      <c r="G3062" s="163"/>
      <c r="H3062" s="163"/>
    </row>
    <row r="3063" spans="4:8" ht="11.25" customHeight="1">
      <c r="D3063" s="163"/>
      <c r="E3063" s="163"/>
      <c r="F3063" s="163"/>
      <c r="G3063" s="163"/>
      <c r="H3063" s="163"/>
    </row>
    <row r="3064" spans="4:8" ht="11.25" customHeight="1">
      <c r="D3064" s="163"/>
      <c r="E3064" s="163"/>
      <c r="F3064" s="163"/>
      <c r="G3064" s="163"/>
      <c r="H3064" s="163"/>
    </row>
    <row r="3065" spans="4:8" ht="11.25" customHeight="1">
      <c r="D3065" s="163"/>
      <c r="E3065" s="163"/>
      <c r="F3065" s="163"/>
      <c r="G3065" s="163"/>
      <c r="H3065" s="163"/>
    </row>
    <row r="3066" spans="4:8" ht="11.25" customHeight="1">
      <c r="D3066" s="163"/>
      <c r="E3066" s="163"/>
      <c r="F3066" s="163"/>
      <c r="G3066" s="163"/>
      <c r="H3066" s="163"/>
    </row>
    <row r="3067" spans="4:8" ht="11.25" customHeight="1">
      <c r="D3067" s="163"/>
      <c r="E3067" s="163"/>
      <c r="F3067" s="163"/>
      <c r="G3067" s="163"/>
      <c r="H3067" s="163"/>
    </row>
    <row r="3068" spans="4:8" ht="11.25" customHeight="1">
      <c r="D3068" s="163"/>
      <c r="E3068" s="163"/>
      <c r="F3068" s="163"/>
      <c r="G3068" s="163"/>
      <c r="H3068" s="163"/>
    </row>
    <row r="3069" spans="4:8" ht="11.25" customHeight="1">
      <c r="D3069" s="163"/>
      <c r="E3069" s="163"/>
      <c r="F3069" s="163"/>
      <c r="G3069" s="163"/>
      <c r="H3069" s="163"/>
    </row>
    <row r="3070" spans="4:8" ht="11.25" customHeight="1">
      <c r="D3070" s="163"/>
      <c r="E3070" s="163"/>
      <c r="F3070" s="163"/>
      <c r="G3070" s="163"/>
      <c r="H3070" s="163"/>
    </row>
    <row r="3071" spans="4:8" ht="11.25" customHeight="1">
      <c r="D3071" s="163"/>
      <c r="E3071" s="163"/>
      <c r="F3071" s="163"/>
      <c r="G3071" s="163"/>
      <c r="H3071" s="163"/>
    </row>
    <row r="3072" spans="4:8" ht="11.25" customHeight="1">
      <c r="D3072" s="163"/>
      <c r="E3072" s="163"/>
      <c r="F3072" s="163"/>
      <c r="G3072" s="163"/>
      <c r="H3072" s="163"/>
    </row>
    <row r="3073" spans="4:8" ht="11.25" customHeight="1">
      <c r="D3073" s="163"/>
      <c r="E3073" s="163"/>
      <c r="F3073" s="163"/>
      <c r="G3073" s="163"/>
      <c r="H3073" s="163"/>
    </row>
    <row r="3074" spans="4:8" ht="11.25" customHeight="1">
      <c r="D3074" s="163"/>
      <c r="E3074" s="163"/>
      <c r="F3074" s="163"/>
      <c r="G3074" s="163"/>
      <c r="H3074" s="163"/>
    </row>
    <row r="3075" spans="4:8" ht="11.25" customHeight="1">
      <c r="D3075" s="163"/>
      <c r="E3075" s="163"/>
      <c r="F3075" s="163"/>
      <c r="G3075" s="163"/>
      <c r="H3075" s="163"/>
    </row>
    <row r="3076" spans="4:8" ht="11.25" customHeight="1">
      <c r="D3076" s="163"/>
      <c r="E3076" s="163"/>
      <c r="F3076" s="163"/>
      <c r="G3076" s="163"/>
      <c r="H3076" s="163"/>
    </row>
    <row r="3077" spans="4:8" ht="11.25" customHeight="1">
      <c r="D3077" s="163"/>
      <c r="E3077" s="163"/>
      <c r="F3077" s="163"/>
      <c r="G3077" s="163"/>
      <c r="H3077" s="163"/>
    </row>
    <row r="3078" spans="4:8" ht="11.25" customHeight="1">
      <c r="D3078" s="163"/>
      <c r="E3078" s="163"/>
      <c r="F3078" s="163"/>
      <c r="G3078" s="163"/>
      <c r="H3078" s="163"/>
    </row>
    <row r="3079" spans="4:8" ht="11.25" customHeight="1">
      <c r="D3079" s="163"/>
      <c r="E3079" s="163"/>
      <c r="F3079" s="163"/>
      <c r="G3079" s="163"/>
      <c r="H3079" s="163"/>
    </row>
    <row r="3080" spans="4:8" ht="11.25" customHeight="1">
      <c r="D3080" s="163"/>
      <c r="E3080" s="163"/>
      <c r="F3080" s="163"/>
      <c r="G3080" s="163"/>
      <c r="H3080" s="163"/>
    </row>
    <row r="3081" spans="4:8" ht="11.25" customHeight="1">
      <c r="D3081" s="163"/>
      <c r="E3081" s="163"/>
      <c r="F3081" s="163"/>
      <c r="G3081" s="163"/>
      <c r="H3081" s="163"/>
    </row>
    <row r="3082" spans="4:8" ht="11.25" customHeight="1">
      <c r="D3082" s="163"/>
      <c r="E3082" s="163"/>
      <c r="F3082" s="163"/>
      <c r="G3082" s="163"/>
      <c r="H3082" s="163"/>
    </row>
    <row r="3083" spans="4:8" ht="11.25" customHeight="1">
      <c r="D3083" s="163"/>
      <c r="E3083" s="163"/>
      <c r="F3083" s="163"/>
      <c r="G3083" s="163"/>
      <c r="H3083" s="163"/>
    </row>
    <row r="3084" spans="4:8" ht="11.25" customHeight="1">
      <c r="D3084" s="163"/>
      <c r="E3084" s="163"/>
      <c r="F3084" s="163"/>
      <c r="G3084" s="163"/>
      <c r="H3084" s="163"/>
    </row>
    <row r="3085" spans="4:8" ht="11.25" customHeight="1">
      <c r="D3085" s="163"/>
      <c r="E3085" s="163"/>
      <c r="F3085" s="163"/>
      <c r="G3085" s="163"/>
      <c r="H3085" s="163"/>
    </row>
    <row r="3086" spans="4:8" ht="11.25" customHeight="1">
      <c r="D3086" s="163"/>
      <c r="E3086" s="163"/>
      <c r="F3086" s="163"/>
      <c r="G3086" s="163"/>
      <c r="H3086" s="163"/>
    </row>
    <row r="3087" spans="4:8" ht="11.25" customHeight="1">
      <c r="D3087" s="163"/>
      <c r="E3087" s="163"/>
      <c r="F3087" s="163"/>
      <c r="G3087" s="163"/>
      <c r="H3087" s="163"/>
    </row>
    <row r="3088" spans="4:8" ht="11.25" customHeight="1">
      <c r="D3088" s="163"/>
      <c r="E3088" s="163"/>
      <c r="F3088" s="163"/>
      <c r="G3088" s="163"/>
      <c r="H3088" s="163"/>
    </row>
    <row r="3089" spans="4:8" ht="11.25" customHeight="1">
      <c r="D3089" s="163"/>
      <c r="E3089" s="163"/>
      <c r="F3089" s="163"/>
      <c r="G3089" s="163"/>
      <c r="H3089" s="163"/>
    </row>
    <row r="3090" spans="4:8" ht="11.25" customHeight="1">
      <c r="D3090" s="163"/>
      <c r="E3090" s="163"/>
      <c r="F3090" s="163"/>
      <c r="G3090" s="163"/>
      <c r="H3090" s="163"/>
    </row>
    <row r="3091" spans="4:8" ht="11.25" customHeight="1">
      <c r="D3091" s="163"/>
      <c r="E3091" s="163"/>
      <c r="F3091" s="163"/>
      <c r="G3091" s="163"/>
      <c r="H3091" s="163"/>
    </row>
    <row r="3092" spans="4:8" ht="11.25" customHeight="1">
      <c r="D3092" s="163"/>
      <c r="E3092" s="163"/>
      <c r="F3092" s="163"/>
      <c r="G3092" s="163"/>
      <c r="H3092" s="163"/>
    </row>
    <row r="3093" spans="4:8" ht="11.25" customHeight="1">
      <c r="D3093" s="163"/>
      <c r="E3093" s="163"/>
      <c r="F3093" s="163"/>
      <c r="G3093" s="163"/>
      <c r="H3093" s="163"/>
    </row>
    <row r="3094" spans="4:8" ht="11.25" customHeight="1">
      <c r="D3094" s="163"/>
      <c r="E3094" s="163"/>
      <c r="F3094" s="163"/>
      <c r="G3094" s="163"/>
      <c r="H3094" s="163"/>
    </row>
    <row r="3095" spans="4:8" ht="11.25" customHeight="1">
      <c r="D3095" s="163"/>
      <c r="E3095" s="163"/>
      <c r="F3095" s="163"/>
      <c r="G3095" s="163"/>
      <c r="H3095" s="163"/>
    </row>
    <row r="3096" spans="4:8" ht="11.25" customHeight="1">
      <c r="D3096" s="163"/>
      <c r="E3096" s="163"/>
      <c r="F3096" s="163"/>
      <c r="G3096" s="163"/>
      <c r="H3096" s="163"/>
    </row>
    <row r="3097" spans="4:8" ht="11.25" customHeight="1">
      <c r="D3097" s="163"/>
      <c r="E3097" s="163"/>
      <c r="F3097" s="163"/>
      <c r="G3097" s="163"/>
      <c r="H3097" s="163"/>
    </row>
    <row r="3098" spans="4:8" ht="11.25" customHeight="1">
      <c r="D3098" s="163"/>
      <c r="E3098" s="163"/>
      <c r="F3098" s="163"/>
      <c r="G3098" s="163"/>
      <c r="H3098" s="163"/>
    </row>
    <row r="3099" spans="4:8" ht="11.25" customHeight="1">
      <c r="D3099" s="163"/>
      <c r="E3099" s="163"/>
      <c r="F3099" s="163"/>
      <c r="G3099" s="163"/>
      <c r="H3099" s="163"/>
    </row>
    <row r="3100" spans="4:8" ht="11.25" customHeight="1">
      <c r="D3100" s="163"/>
      <c r="E3100" s="163"/>
      <c r="F3100" s="163"/>
      <c r="G3100" s="163"/>
      <c r="H3100" s="163"/>
    </row>
    <row r="3101" spans="4:8" ht="11.25" customHeight="1">
      <c r="D3101" s="163"/>
      <c r="E3101" s="163"/>
      <c r="F3101" s="163"/>
      <c r="G3101" s="163"/>
      <c r="H3101" s="163"/>
    </row>
    <row r="3102" spans="4:8" ht="11.25" customHeight="1">
      <c r="D3102" s="163"/>
      <c r="E3102" s="163"/>
      <c r="F3102" s="163"/>
      <c r="G3102" s="163"/>
      <c r="H3102" s="163"/>
    </row>
    <row r="3103" spans="4:8" ht="11.25" customHeight="1">
      <c r="D3103" s="163"/>
      <c r="E3103" s="163"/>
      <c r="F3103" s="163"/>
      <c r="G3103" s="163"/>
      <c r="H3103" s="163"/>
    </row>
    <row r="3104" spans="4:8" ht="11.25" customHeight="1">
      <c r="D3104" s="163"/>
      <c r="E3104" s="163"/>
      <c r="F3104" s="163"/>
      <c r="G3104" s="163"/>
      <c r="H3104" s="163"/>
    </row>
    <row r="3105" spans="4:8" ht="11.25" customHeight="1">
      <c r="D3105" s="163"/>
      <c r="E3105" s="163"/>
      <c r="F3105" s="163"/>
      <c r="G3105" s="163"/>
      <c r="H3105" s="163"/>
    </row>
    <row r="3106" spans="4:8" ht="11.25" customHeight="1">
      <c r="D3106" s="163"/>
      <c r="E3106" s="163"/>
      <c r="F3106" s="163"/>
      <c r="G3106" s="163"/>
      <c r="H3106" s="163"/>
    </row>
    <row r="3107" spans="4:8" ht="11.25" customHeight="1">
      <c r="D3107" s="163"/>
      <c r="E3107" s="163"/>
      <c r="F3107" s="163"/>
      <c r="G3107" s="163"/>
      <c r="H3107" s="163"/>
    </row>
    <row r="3108" spans="4:8" ht="11.25" customHeight="1">
      <c r="D3108" s="163"/>
      <c r="E3108" s="163"/>
      <c r="F3108" s="163"/>
      <c r="G3108" s="163"/>
      <c r="H3108" s="163"/>
    </row>
    <row r="3109" spans="4:8" ht="11.25" customHeight="1">
      <c r="D3109" s="163"/>
      <c r="E3109" s="163"/>
      <c r="F3109" s="163"/>
      <c r="G3109" s="163"/>
      <c r="H3109" s="163"/>
    </row>
    <row r="3110" spans="4:8" ht="11.25" customHeight="1">
      <c r="D3110" s="163"/>
      <c r="E3110" s="163"/>
      <c r="F3110" s="163"/>
      <c r="G3110" s="163"/>
      <c r="H3110" s="163"/>
    </row>
    <row r="3111" spans="4:8" ht="11.25" customHeight="1">
      <c r="D3111" s="163"/>
      <c r="E3111" s="163"/>
      <c r="F3111" s="163"/>
      <c r="G3111" s="163"/>
      <c r="H3111" s="163"/>
    </row>
    <row r="3112" spans="4:8" ht="11.25" customHeight="1">
      <c r="D3112" s="163"/>
      <c r="E3112" s="163"/>
      <c r="F3112" s="163"/>
      <c r="G3112" s="163"/>
      <c r="H3112" s="163"/>
    </row>
    <row r="3113" spans="4:8" ht="11.25" customHeight="1">
      <c r="D3113" s="163"/>
      <c r="E3113" s="163"/>
      <c r="F3113" s="163"/>
      <c r="G3113" s="163"/>
      <c r="H3113" s="163"/>
    </row>
    <row r="3114" spans="4:8" ht="11.25" customHeight="1">
      <c r="D3114" s="163"/>
      <c r="E3114" s="163"/>
      <c r="F3114" s="163"/>
      <c r="G3114" s="163"/>
      <c r="H3114" s="163"/>
    </row>
    <row r="3115" spans="4:8" ht="11.25" customHeight="1">
      <c r="D3115" s="163"/>
      <c r="E3115" s="163"/>
      <c r="F3115" s="163"/>
      <c r="G3115" s="163"/>
      <c r="H3115" s="163"/>
    </row>
    <row r="3116" spans="4:8" ht="11.25" customHeight="1">
      <c r="D3116" s="163"/>
      <c r="E3116" s="163"/>
      <c r="F3116" s="163"/>
      <c r="G3116" s="163"/>
      <c r="H3116" s="163"/>
    </row>
    <row r="3117" spans="4:8" ht="11.25" customHeight="1">
      <c r="D3117" s="163"/>
      <c r="E3117" s="163"/>
      <c r="F3117" s="163"/>
      <c r="G3117" s="163"/>
      <c r="H3117" s="163"/>
    </row>
    <row r="3118" spans="4:8" ht="11.25" customHeight="1">
      <c r="D3118" s="163"/>
      <c r="E3118" s="163"/>
      <c r="F3118" s="163"/>
      <c r="G3118" s="163"/>
      <c r="H3118" s="163"/>
    </row>
    <row r="3119" spans="4:8" ht="11.25" customHeight="1">
      <c r="D3119" s="163"/>
      <c r="E3119" s="163"/>
      <c r="F3119" s="163"/>
      <c r="G3119" s="163"/>
      <c r="H3119" s="163"/>
    </row>
    <row r="3120" spans="4:8" ht="11.25" customHeight="1">
      <c r="D3120" s="163"/>
      <c r="E3120" s="163"/>
      <c r="F3120" s="163"/>
      <c r="G3120" s="163"/>
      <c r="H3120" s="163"/>
    </row>
    <row r="3121" spans="4:8" ht="11.25" customHeight="1">
      <c r="D3121" s="163"/>
      <c r="E3121" s="163"/>
      <c r="F3121" s="163"/>
      <c r="G3121" s="163"/>
      <c r="H3121" s="163"/>
    </row>
    <row r="3122" spans="4:8" ht="11.25" customHeight="1">
      <c r="D3122" s="163"/>
      <c r="E3122" s="163"/>
      <c r="F3122" s="163"/>
      <c r="G3122" s="163"/>
      <c r="H3122" s="163"/>
    </row>
    <row r="3123" spans="4:8" ht="11.25" customHeight="1">
      <c r="D3123" s="163"/>
      <c r="E3123" s="163"/>
      <c r="F3123" s="163"/>
      <c r="G3123" s="163"/>
      <c r="H3123" s="163"/>
    </row>
    <row r="3124" spans="4:8" ht="11.25" customHeight="1">
      <c r="D3124" s="163"/>
      <c r="E3124" s="163"/>
      <c r="F3124" s="163"/>
      <c r="G3124" s="163"/>
      <c r="H3124" s="163"/>
    </row>
    <row r="3125" spans="4:8" ht="11.25" customHeight="1">
      <c r="D3125" s="163"/>
      <c r="E3125" s="163"/>
      <c r="F3125" s="163"/>
      <c r="G3125" s="163"/>
      <c r="H3125" s="163"/>
    </row>
    <row r="3126" spans="4:8" ht="11.25" customHeight="1">
      <c r="D3126" s="163"/>
      <c r="E3126" s="163"/>
      <c r="F3126" s="163"/>
      <c r="G3126" s="163"/>
      <c r="H3126" s="163"/>
    </row>
    <row r="3127" spans="4:8" ht="11.25" customHeight="1">
      <c r="D3127" s="163"/>
      <c r="E3127" s="163"/>
      <c r="F3127" s="163"/>
      <c r="G3127" s="163"/>
      <c r="H3127" s="163"/>
    </row>
    <row r="3128" spans="4:8" ht="11.25" customHeight="1">
      <c r="D3128" s="163"/>
      <c r="E3128" s="163"/>
      <c r="F3128" s="163"/>
      <c r="G3128" s="163"/>
      <c r="H3128" s="163"/>
    </row>
    <row r="3129" spans="4:8" ht="11.25" customHeight="1">
      <c r="D3129" s="163"/>
      <c r="E3129" s="163"/>
      <c r="F3129" s="163"/>
      <c r="G3129" s="163"/>
      <c r="H3129" s="163"/>
    </row>
    <row r="3130" spans="4:8" ht="11.25" customHeight="1">
      <c r="D3130" s="163"/>
      <c r="E3130" s="163"/>
      <c r="F3130" s="163"/>
      <c r="G3130" s="163"/>
      <c r="H3130" s="163"/>
    </row>
    <row r="3131" spans="4:8" ht="11.25" customHeight="1">
      <c r="D3131" s="163"/>
      <c r="E3131" s="163"/>
      <c r="F3131" s="163"/>
      <c r="G3131" s="163"/>
      <c r="H3131" s="163"/>
    </row>
    <row r="3132" spans="4:8" ht="11.25" customHeight="1">
      <c r="D3132" s="163"/>
      <c r="E3132" s="163"/>
      <c r="F3132" s="163"/>
      <c r="G3132" s="163"/>
      <c r="H3132" s="163"/>
    </row>
    <row r="3133" spans="4:8" ht="11.25" customHeight="1">
      <c r="D3133" s="163"/>
      <c r="E3133" s="163"/>
      <c r="F3133" s="163"/>
      <c r="G3133" s="163"/>
      <c r="H3133" s="163"/>
    </row>
    <row r="3134" spans="4:8" ht="11.25" customHeight="1">
      <c r="D3134" s="163"/>
      <c r="E3134" s="163"/>
      <c r="F3134" s="163"/>
      <c r="G3134" s="163"/>
      <c r="H3134" s="163"/>
    </row>
    <row r="3135" spans="4:8" ht="11.25" customHeight="1">
      <c r="D3135" s="163"/>
      <c r="E3135" s="163"/>
      <c r="F3135" s="163"/>
      <c r="G3135" s="163"/>
      <c r="H3135" s="163"/>
    </row>
    <row r="3136" spans="4:8" ht="11.25" customHeight="1">
      <c r="D3136" s="163"/>
      <c r="E3136" s="163"/>
      <c r="F3136" s="163"/>
      <c r="G3136" s="163"/>
      <c r="H3136" s="163"/>
    </row>
    <row r="3137" spans="4:8" ht="11.25" customHeight="1">
      <c r="D3137" s="163"/>
      <c r="E3137" s="163"/>
      <c r="F3137" s="163"/>
      <c r="G3137" s="163"/>
      <c r="H3137" s="163"/>
    </row>
    <row r="3138" spans="4:8" ht="11.25" customHeight="1">
      <c r="D3138" s="163"/>
      <c r="E3138" s="163"/>
      <c r="F3138" s="163"/>
      <c r="G3138" s="163"/>
      <c r="H3138" s="163"/>
    </row>
    <row r="3139" spans="4:8" ht="11.25" customHeight="1">
      <c r="D3139" s="163"/>
      <c r="E3139" s="163"/>
      <c r="F3139" s="163"/>
      <c r="G3139" s="163"/>
      <c r="H3139" s="163"/>
    </row>
    <row r="3140" spans="4:8" ht="11.25" customHeight="1">
      <c r="D3140" s="163"/>
      <c r="E3140" s="163"/>
      <c r="F3140" s="163"/>
      <c r="G3140" s="163"/>
      <c r="H3140" s="163"/>
    </row>
    <row r="3141" spans="4:8" ht="11.25" customHeight="1">
      <c r="D3141" s="163"/>
      <c r="E3141" s="163"/>
      <c r="F3141" s="163"/>
      <c r="G3141" s="163"/>
      <c r="H3141" s="163"/>
    </row>
    <row r="3142" spans="4:8" ht="11.25" customHeight="1">
      <c r="D3142" s="163"/>
      <c r="E3142" s="163"/>
      <c r="F3142" s="163"/>
      <c r="G3142" s="163"/>
      <c r="H3142" s="163"/>
    </row>
    <row r="3143" spans="4:8" ht="11.25" customHeight="1">
      <c r="D3143" s="163"/>
      <c r="E3143" s="163"/>
      <c r="F3143" s="163"/>
      <c r="G3143" s="163"/>
      <c r="H3143" s="163"/>
    </row>
    <row r="3144" spans="4:8" ht="11.25" customHeight="1">
      <c r="D3144" s="163"/>
      <c r="E3144" s="163"/>
      <c r="F3144" s="163"/>
      <c r="G3144" s="163"/>
      <c r="H3144" s="163"/>
    </row>
    <row r="3145" spans="4:8" ht="11.25" customHeight="1">
      <c r="D3145" s="163"/>
      <c r="E3145" s="163"/>
      <c r="F3145" s="163"/>
      <c r="G3145" s="163"/>
      <c r="H3145" s="163"/>
    </row>
    <row r="3146" spans="4:8" ht="11.25" customHeight="1">
      <c r="D3146" s="163"/>
      <c r="E3146" s="163"/>
      <c r="F3146" s="163"/>
      <c r="G3146" s="163"/>
      <c r="H3146" s="163"/>
    </row>
    <row r="3147" spans="4:8" ht="11.25" customHeight="1">
      <c r="D3147" s="163"/>
      <c r="E3147" s="163"/>
      <c r="F3147" s="163"/>
      <c r="G3147" s="163"/>
      <c r="H3147" s="163"/>
    </row>
    <row r="3148" spans="4:8" ht="11.25" customHeight="1">
      <c r="D3148" s="163"/>
      <c r="E3148" s="163"/>
      <c r="F3148" s="163"/>
      <c r="G3148" s="163"/>
      <c r="H3148" s="163"/>
    </row>
    <row r="3149" spans="4:8" ht="11.25" customHeight="1">
      <c r="D3149" s="163"/>
      <c r="E3149" s="163"/>
      <c r="F3149" s="163"/>
      <c r="G3149" s="163"/>
      <c r="H3149" s="163"/>
    </row>
    <row r="3150" spans="4:8" ht="11.25" customHeight="1">
      <c r="D3150" s="163"/>
      <c r="E3150" s="163"/>
      <c r="F3150" s="163"/>
      <c r="G3150" s="163"/>
      <c r="H3150" s="163"/>
    </row>
    <row r="3151" spans="4:8" ht="11.25" customHeight="1">
      <c r="D3151" s="163"/>
      <c r="E3151" s="163"/>
      <c r="F3151" s="163"/>
      <c r="G3151" s="163"/>
      <c r="H3151" s="163"/>
    </row>
    <row r="3152" spans="4:8" ht="11.25" customHeight="1">
      <c r="D3152" s="163"/>
      <c r="E3152" s="163"/>
      <c r="F3152" s="163"/>
      <c r="G3152" s="163"/>
      <c r="H3152" s="163"/>
    </row>
    <row r="3153" spans="4:8" ht="11.25" customHeight="1">
      <c r="D3153" s="163"/>
      <c r="E3153" s="163"/>
      <c r="F3153" s="163"/>
      <c r="G3153" s="163"/>
      <c r="H3153" s="163"/>
    </row>
    <row r="3154" spans="4:8" ht="11.25" customHeight="1">
      <c r="D3154" s="163"/>
      <c r="E3154" s="163"/>
      <c r="F3154" s="163"/>
      <c r="G3154" s="163"/>
      <c r="H3154" s="163"/>
    </row>
    <row r="3155" spans="4:8" ht="11.25" customHeight="1">
      <c r="D3155" s="163"/>
      <c r="E3155" s="163"/>
      <c r="F3155" s="163"/>
      <c r="G3155" s="163"/>
      <c r="H3155" s="163"/>
    </row>
    <row r="3156" spans="4:8" ht="11.25" customHeight="1">
      <c r="D3156" s="163"/>
      <c r="E3156" s="163"/>
      <c r="F3156" s="163"/>
      <c r="G3156" s="163"/>
      <c r="H3156" s="163"/>
    </row>
    <row r="3157" spans="4:8" ht="11.25" customHeight="1">
      <c r="D3157" s="163"/>
      <c r="E3157" s="163"/>
      <c r="F3157" s="163"/>
      <c r="G3157" s="163"/>
      <c r="H3157" s="163"/>
    </row>
    <row r="3158" spans="4:8" ht="11.25" customHeight="1">
      <c r="D3158" s="163"/>
      <c r="E3158" s="163"/>
      <c r="F3158" s="163"/>
      <c r="G3158" s="163"/>
      <c r="H3158" s="163"/>
    </row>
    <row r="3159" spans="4:8" ht="11.25" customHeight="1">
      <c r="D3159" s="163"/>
      <c r="E3159" s="163"/>
      <c r="F3159" s="163"/>
      <c r="G3159" s="163"/>
      <c r="H3159" s="163"/>
    </row>
    <row r="3160" spans="4:8" ht="11.25" customHeight="1">
      <c r="D3160" s="163"/>
      <c r="E3160" s="163"/>
      <c r="F3160" s="163"/>
      <c r="G3160" s="163"/>
      <c r="H3160" s="163"/>
    </row>
    <row r="3161" spans="4:8" ht="11.25" customHeight="1">
      <c r="D3161" s="163"/>
      <c r="E3161" s="163"/>
      <c r="F3161" s="163"/>
      <c r="G3161" s="163"/>
      <c r="H3161" s="163"/>
    </row>
    <row r="3162" spans="4:8" ht="11.25" customHeight="1">
      <c r="D3162" s="163"/>
      <c r="E3162" s="163"/>
      <c r="F3162" s="163"/>
      <c r="G3162" s="163"/>
      <c r="H3162" s="163"/>
    </row>
    <row r="3163" spans="4:8" ht="11.25" customHeight="1">
      <c r="D3163" s="163"/>
      <c r="E3163" s="163"/>
      <c r="F3163" s="163"/>
      <c r="G3163" s="163"/>
      <c r="H3163" s="163"/>
    </row>
    <row r="3164" spans="4:8" ht="11.25" customHeight="1">
      <c r="D3164" s="163"/>
      <c r="E3164" s="163"/>
      <c r="F3164" s="163"/>
      <c r="G3164" s="163"/>
      <c r="H3164" s="163"/>
    </row>
    <row r="3165" spans="4:8" ht="11.25" customHeight="1">
      <c r="D3165" s="163"/>
      <c r="E3165" s="163"/>
      <c r="F3165" s="163"/>
      <c r="G3165" s="163"/>
      <c r="H3165" s="163"/>
    </row>
    <row r="3166" spans="4:8" ht="11.25" customHeight="1">
      <c r="D3166" s="163"/>
      <c r="E3166" s="163"/>
      <c r="F3166" s="163"/>
      <c r="G3166" s="163"/>
      <c r="H3166" s="163"/>
    </row>
    <row r="3167" spans="4:8" ht="11.25" customHeight="1">
      <c r="D3167" s="163"/>
      <c r="E3167" s="163"/>
      <c r="F3167" s="163"/>
      <c r="G3167" s="163"/>
      <c r="H3167" s="163"/>
    </row>
    <row r="3168" spans="4:8" ht="11.25" customHeight="1">
      <c r="D3168" s="163"/>
      <c r="E3168" s="163"/>
      <c r="F3168" s="163"/>
      <c r="G3168" s="163"/>
      <c r="H3168" s="163"/>
    </row>
    <row r="3169" spans="4:8" ht="11.25" customHeight="1">
      <c r="D3169" s="163"/>
      <c r="E3169" s="163"/>
      <c r="F3169" s="163"/>
      <c r="G3169" s="163"/>
      <c r="H3169" s="163"/>
    </row>
    <row r="3170" spans="4:8" ht="11.25" customHeight="1">
      <c r="D3170" s="163"/>
      <c r="E3170" s="163"/>
      <c r="F3170" s="163"/>
      <c r="G3170" s="163"/>
      <c r="H3170" s="163"/>
    </row>
    <row r="3171" spans="4:8" ht="11.25" customHeight="1">
      <c r="D3171" s="163"/>
      <c r="E3171" s="163"/>
      <c r="F3171" s="163"/>
      <c r="G3171" s="163"/>
      <c r="H3171" s="163"/>
    </row>
    <row r="3172" spans="4:8" ht="11.25" customHeight="1">
      <c r="D3172" s="163"/>
      <c r="E3172" s="163"/>
      <c r="F3172" s="163"/>
      <c r="G3172" s="163"/>
      <c r="H3172" s="163"/>
    </row>
    <row r="3173" spans="4:8" ht="11.25" customHeight="1">
      <c r="D3173" s="163"/>
      <c r="E3173" s="163"/>
      <c r="F3173" s="163"/>
      <c r="G3173" s="163"/>
      <c r="H3173" s="163"/>
    </row>
    <row r="3174" spans="4:8" ht="11.25" customHeight="1">
      <c r="D3174" s="163"/>
      <c r="E3174" s="163"/>
      <c r="F3174" s="163"/>
      <c r="G3174" s="163"/>
      <c r="H3174" s="163"/>
    </row>
    <row r="3175" spans="4:8" ht="11.25" customHeight="1">
      <c r="D3175" s="163"/>
      <c r="E3175" s="163"/>
      <c r="F3175" s="163"/>
      <c r="G3175" s="163"/>
      <c r="H3175" s="163"/>
    </row>
    <row r="3176" spans="4:8" ht="11.25" customHeight="1">
      <c r="D3176" s="163"/>
      <c r="E3176" s="163"/>
      <c r="F3176" s="163"/>
      <c r="G3176" s="163"/>
      <c r="H3176" s="163"/>
    </row>
    <row r="3177" spans="4:8" ht="11.25" customHeight="1">
      <c r="D3177" s="163"/>
      <c r="E3177" s="163"/>
      <c r="F3177" s="163"/>
      <c r="G3177" s="163"/>
      <c r="H3177" s="163"/>
    </row>
    <row r="3178" spans="4:8" ht="11.25" customHeight="1">
      <c r="D3178" s="163"/>
      <c r="E3178" s="163"/>
      <c r="F3178" s="163"/>
      <c r="G3178" s="163"/>
      <c r="H3178" s="163"/>
    </row>
    <row r="3179" spans="4:8" ht="11.25" customHeight="1">
      <c r="D3179" s="163"/>
      <c r="E3179" s="163"/>
      <c r="F3179" s="163"/>
      <c r="G3179" s="163"/>
      <c r="H3179" s="163"/>
    </row>
    <row r="3180" spans="4:8" ht="11.25" customHeight="1">
      <c r="D3180" s="163"/>
      <c r="E3180" s="163"/>
      <c r="F3180" s="163"/>
      <c r="G3180" s="163"/>
      <c r="H3180" s="163"/>
    </row>
    <row r="3181" spans="4:8" ht="11.25" customHeight="1">
      <c r="D3181" s="163"/>
      <c r="E3181" s="163"/>
      <c r="F3181" s="163"/>
      <c r="G3181" s="163"/>
      <c r="H3181" s="163"/>
    </row>
    <row r="3182" spans="4:8" ht="11.25" customHeight="1">
      <c r="D3182" s="163"/>
      <c r="E3182" s="163"/>
      <c r="F3182" s="163"/>
      <c r="G3182" s="163"/>
      <c r="H3182" s="163"/>
    </row>
    <row r="3183" spans="4:8" ht="11.25" customHeight="1">
      <c r="D3183" s="163"/>
      <c r="E3183" s="163"/>
      <c r="F3183" s="163"/>
      <c r="G3183" s="163"/>
      <c r="H3183" s="163"/>
    </row>
    <row r="3184" spans="4:8" ht="11.25" customHeight="1">
      <c r="D3184" s="163"/>
      <c r="E3184" s="163"/>
      <c r="F3184" s="163"/>
      <c r="G3184" s="163"/>
      <c r="H3184" s="163"/>
    </row>
    <row r="3185" spans="4:8" ht="11.25" customHeight="1">
      <c r="D3185" s="163"/>
      <c r="E3185" s="163"/>
      <c r="F3185" s="163"/>
      <c r="G3185" s="163"/>
      <c r="H3185" s="163"/>
    </row>
    <row r="3186" spans="4:8" ht="11.25" customHeight="1">
      <c r="D3186" s="163"/>
      <c r="E3186" s="163"/>
      <c r="F3186" s="163"/>
      <c r="G3186" s="163"/>
      <c r="H3186" s="163"/>
    </row>
    <row r="3187" spans="4:8" ht="11.25" customHeight="1">
      <c r="D3187" s="163"/>
      <c r="E3187" s="163"/>
      <c r="F3187" s="163"/>
      <c r="G3187" s="163"/>
      <c r="H3187" s="163"/>
    </row>
    <row r="3188" spans="4:8" ht="11.25" customHeight="1">
      <c r="D3188" s="163"/>
      <c r="E3188" s="163"/>
      <c r="F3188" s="163"/>
      <c r="G3188" s="163"/>
      <c r="H3188" s="163"/>
    </row>
    <row r="3189" spans="4:8" ht="11.25" customHeight="1">
      <c r="D3189" s="163"/>
      <c r="E3189" s="163"/>
      <c r="F3189" s="163"/>
      <c r="G3189" s="163"/>
      <c r="H3189" s="163"/>
    </row>
    <row r="3190" spans="4:8" ht="11.25" customHeight="1">
      <c r="D3190" s="163"/>
      <c r="E3190" s="163"/>
      <c r="F3190" s="163"/>
      <c r="G3190" s="163"/>
      <c r="H3190" s="163"/>
    </row>
    <row r="3191" spans="4:8" ht="11.25" customHeight="1">
      <c r="D3191" s="163"/>
      <c r="E3191" s="163"/>
      <c r="F3191" s="163"/>
      <c r="G3191" s="163"/>
      <c r="H3191" s="163"/>
    </row>
    <row r="3192" spans="4:8" ht="11.25" customHeight="1">
      <c r="D3192" s="163"/>
      <c r="E3192" s="163"/>
      <c r="F3192" s="163"/>
      <c r="G3192" s="163"/>
      <c r="H3192" s="163"/>
    </row>
    <row r="3193" spans="4:8" ht="11.25" customHeight="1">
      <c r="D3193" s="163"/>
      <c r="E3193" s="163"/>
      <c r="F3193" s="163"/>
      <c r="G3193" s="163"/>
      <c r="H3193" s="163"/>
    </row>
    <row r="3194" spans="4:8" ht="11.25" customHeight="1">
      <c r="D3194" s="163"/>
      <c r="E3194" s="163"/>
      <c r="F3194" s="163"/>
      <c r="G3194" s="163"/>
      <c r="H3194" s="163"/>
    </row>
    <row r="3195" spans="4:8" ht="11.25" customHeight="1">
      <c r="D3195" s="163"/>
      <c r="E3195" s="163"/>
      <c r="F3195" s="163"/>
      <c r="G3195" s="163"/>
      <c r="H3195" s="163"/>
    </row>
    <row r="3196" spans="4:8" ht="11.25" customHeight="1">
      <c r="D3196" s="163"/>
      <c r="E3196" s="163"/>
      <c r="F3196" s="163"/>
      <c r="G3196" s="163"/>
      <c r="H3196" s="163"/>
    </row>
    <row r="3197" spans="4:8" ht="11.25" customHeight="1">
      <c r="D3197" s="163"/>
      <c r="E3197" s="163"/>
      <c r="F3197" s="163"/>
      <c r="G3197" s="163"/>
      <c r="H3197" s="163"/>
    </row>
    <row r="3198" spans="4:8" ht="11.25" customHeight="1">
      <c r="D3198" s="163"/>
      <c r="E3198" s="163"/>
      <c r="F3198" s="163"/>
      <c r="G3198" s="163"/>
      <c r="H3198" s="163"/>
    </row>
    <row r="3199" spans="4:8" ht="11.25" customHeight="1">
      <c r="D3199" s="163"/>
      <c r="E3199" s="163"/>
      <c r="F3199" s="163"/>
      <c r="G3199" s="163"/>
      <c r="H3199" s="163"/>
    </row>
    <row r="3200" spans="4:8" ht="11.25" customHeight="1">
      <c r="D3200" s="163"/>
      <c r="E3200" s="163"/>
      <c r="F3200" s="163"/>
      <c r="G3200" s="163"/>
      <c r="H3200" s="163"/>
    </row>
    <row r="3201" spans="4:8" ht="11.25" customHeight="1">
      <c r="D3201" s="163"/>
      <c r="E3201" s="163"/>
      <c r="F3201" s="163"/>
      <c r="G3201" s="163"/>
      <c r="H3201" s="163"/>
    </row>
    <row r="3202" spans="4:8" ht="11.25" customHeight="1">
      <c r="D3202" s="163"/>
      <c r="E3202" s="163"/>
      <c r="F3202" s="163"/>
      <c r="G3202" s="163"/>
      <c r="H3202" s="163"/>
    </row>
    <row r="3203" spans="4:8" ht="11.25" customHeight="1">
      <c r="D3203" s="163"/>
      <c r="E3203" s="163"/>
      <c r="F3203" s="163"/>
      <c r="G3203" s="163"/>
      <c r="H3203" s="163"/>
    </row>
    <row r="3204" spans="4:8" ht="11.25" customHeight="1">
      <c r="D3204" s="163"/>
      <c r="E3204" s="163"/>
      <c r="F3204" s="163"/>
      <c r="G3204" s="163"/>
      <c r="H3204" s="163"/>
    </row>
    <row r="3205" spans="4:8" ht="11.25" customHeight="1">
      <c r="D3205" s="163"/>
      <c r="E3205" s="163"/>
      <c r="F3205" s="163"/>
      <c r="G3205" s="163"/>
      <c r="H3205" s="163"/>
    </row>
    <row r="3206" spans="4:8" ht="11.25" customHeight="1">
      <c r="D3206" s="163"/>
      <c r="E3206" s="163"/>
      <c r="F3206" s="163"/>
      <c r="G3206" s="163"/>
      <c r="H3206" s="163"/>
    </row>
    <row r="3207" spans="4:8" ht="11.25" customHeight="1">
      <c r="D3207" s="163"/>
      <c r="E3207" s="163"/>
      <c r="F3207" s="163"/>
      <c r="G3207" s="163"/>
      <c r="H3207" s="163"/>
    </row>
    <row r="3208" spans="4:8" ht="11.25" customHeight="1">
      <c r="D3208" s="163"/>
      <c r="E3208" s="163"/>
      <c r="F3208" s="163"/>
      <c r="G3208" s="163"/>
      <c r="H3208" s="163"/>
    </row>
    <row r="3209" spans="4:8" ht="11.25" customHeight="1">
      <c r="D3209" s="163"/>
      <c r="E3209" s="163"/>
      <c r="F3209" s="163"/>
      <c r="G3209" s="163"/>
      <c r="H3209" s="163"/>
    </row>
    <row r="3210" spans="4:8" ht="11.25" customHeight="1">
      <c r="D3210" s="163"/>
      <c r="E3210" s="163"/>
      <c r="F3210" s="163"/>
      <c r="G3210" s="163"/>
      <c r="H3210" s="163"/>
    </row>
    <row r="3211" spans="4:8" ht="11.25" customHeight="1">
      <c r="D3211" s="163"/>
      <c r="E3211" s="163"/>
      <c r="F3211" s="163"/>
      <c r="G3211" s="163"/>
      <c r="H3211" s="163"/>
    </row>
    <row r="3212" spans="4:8" ht="11.25" customHeight="1">
      <c r="D3212" s="163"/>
      <c r="E3212" s="163"/>
      <c r="F3212" s="163"/>
      <c r="G3212" s="163"/>
      <c r="H3212" s="163"/>
    </row>
    <row r="3213" spans="4:8" ht="11.25" customHeight="1">
      <c r="D3213" s="163"/>
      <c r="E3213" s="163"/>
      <c r="F3213" s="163"/>
      <c r="G3213" s="163"/>
      <c r="H3213" s="163"/>
    </row>
    <row r="3214" spans="4:8" ht="11.25" customHeight="1">
      <c r="D3214" s="163"/>
      <c r="E3214" s="163"/>
      <c r="F3214" s="163"/>
      <c r="G3214" s="163"/>
      <c r="H3214" s="163"/>
    </row>
    <row r="3215" spans="4:8" ht="11.25" customHeight="1">
      <c r="D3215" s="163"/>
      <c r="E3215" s="163"/>
      <c r="F3215" s="163"/>
      <c r="G3215" s="163"/>
      <c r="H3215" s="163"/>
    </row>
    <row r="3216" spans="4:8" ht="11.25" customHeight="1">
      <c r="D3216" s="163"/>
      <c r="E3216" s="163"/>
      <c r="F3216" s="163"/>
      <c r="G3216" s="163"/>
      <c r="H3216" s="163"/>
    </row>
    <row r="3217" spans="4:8" ht="11.25" customHeight="1">
      <c r="D3217" s="163"/>
      <c r="E3217" s="163"/>
      <c r="F3217" s="163"/>
      <c r="G3217" s="163"/>
      <c r="H3217" s="163"/>
    </row>
    <row r="3218" spans="4:8" ht="11.25" customHeight="1">
      <c r="D3218" s="163"/>
      <c r="E3218" s="163"/>
      <c r="F3218" s="163"/>
      <c r="G3218" s="163"/>
      <c r="H3218" s="163"/>
    </row>
    <row r="3219" spans="4:8" ht="11.25" customHeight="1">
      <c r="D3219" s="163"/>
      <c r="E3219" s="163"/>
      <c r="F3219" s="163"/>
      <c r="G3219" s="163"/>
      <c r="H3219" s="163"/>
    </row>
    <row r="3220" spans="4:8" ht="11.25" customHeight="1">
      <c r="D3220" s="163"/>
      <c r="E3220" s="163"/>
      <c r="F3220" s="163"/>
      <c r="G3220" s="163"/>
      <c r="H3220" s="163"/>
    </row>
    <row r="3221" spans="4:8" ht="11.25" customHeight="1">
      <c r="D3221" s="163"/>
      <c r="E3221" s="163"/>
      <c r="F3221" s="163"/>
      <c r="G3221" s="163"/>
      <c r="H3221" s="163"/>
    </row>
    <row r="3222" spans="4:8" ht="11.25" customHeight="1">
      <c r="D3222" s="163"/>
      <c r="E3222" s="163"/>
      <c r="F3222" s="163"/>
      <c r="G3222" s="163"/>
      <c r="H3222" s="163"/>
    </row>
    <row r="3223" spans="4:8" ht="11.25" customHeight="1">
      <c r="D3223" s="163"/>
      <c r="E3223" s="163"/>
      <c r="F3223" s="163"/>
      <c r="G3223" s="163"/>
      <c r="H3223" s="163"/>
    </row>
    <row r="3224" spans="4:8" ht="11.25" customHeight="1">
      <c r="D3224" s="163"/>
      <c r="E3224" s="163"/>
      <c r="F3224" s="163"/>
      <c r="G3224" s="163"/>
      <c r="H3224" s="163"/>
    </row>
    <row r="3225" spans="4:8" ht="11.25" customHeight="1">
      <c r="D3225" s="163"/>
      <c r="E3225" s="163"/>
      <c r="F3225" s="163"/>
      <c r="G3225" s="163"/>
      <c r="H3225" s="163"/>
    </row>
    <row r="3226" spans="4:8" ht="11.25" customHeight="1">
      <c r="D3226" s="163"/>
      <c r="E3226" s="163"/>
      <c r="F3226" s="163"/>
      <c r="G3226" s="163"/>
      <c r="H3226" s="163"/>
    </row>
    <row r="3227" spans="4:8" ht="11.25" customHeight="1">
      <c r="D3227" s="163"/>
      <c r="E3227" s="163"/>
      <c r="F3227" s="163"/>
      <c r="G3227" s="163"/>
      <c r="H3227" s="163"/>
    </row>
    <row r="3228" spans="4:8" ht="11.25" customHeight="1">
      <c r="D3228" s="163"/>
      <c r="E3228" s="163"/>
      <c r="F3228" s="163"/>
      <c r="G3228" s="163"/>
      <c r="H3228" s="163"/>
    </row>
    <row r="3229" spans="4:8" ht="11.25" customHeight="1">
      <c r="D3229" s="163"/>
      <c r="E3229" s="163"/>
      <c r="F3229" s="163"/>
      <c r="G3229" s="163"/>
      <c r="H3229" s="163"/>
    </row>
    <row r="3230" spans="4:8" ht="11.25" customHeight="1">
      <c r="D3230" s="163"/>
      <c r="E3230" s="163"/>
      <c r="F3230" s="163"/>
      <c r="G3230" s="163"/>
      <c r="H3230" s="163"/>
    </row>
    <row r="3231" spans="4:8" ht="11.25" customHeight="1">
      <c r="D3231" s="163"/>
      <c r="E3231" s="163"/>
      <c r="F3231" s="163"/>
      <c r="G3231" s="163"/>
      <c r="H3231" s="163"/>
    </row>
    <row r="3232" spans="4:8" ht="11.25" customHeight="1">
      <c r="D3232" s="163"/>
      <c r="E3232" s="163"/>
      <c r="F3232" s="163"/>
      <c r="G3232" s="163"/>
      <c r="H3232" s="163"/>
    </row>
    <row r="3233" spans="4:8" ht="11.25" customHeight="1">
      <c r="D3233" s="163"/>
      <c r="E3233" s="163"/>
      <c r="F3233" s="163"/>
      <c r="G3233" s="163"/>
      <c r="H3233" s="163"/>
    </row>
    <row r="3234" spans="4:8" ht="11.25" customHeight="1">
      <c r="D3234" s="163"/>
      <c r="E3234" s="163"/>
      <c r="F3234" s="163"/>
      <c r="G3234" s="163"/>
      <c r="H3234" s="163"/>
    </row>
    <row r="3235" spans="4:8" ht="11.25" customHeight="1">
      <c r="D3235" s="163"/>
      <c r="E3235" s="163"/>
      <c r="F3235" s="163"/>
      <c r="G3235" s="163"/>
      <c r="H3235" s="163"/>
    </row>
    <row r="3236" spans="4:8" ht="11.25" customHeight="1">
      <c r="D3236" s="163"/>
      <c r="E3236" s="163"/>
      <c r="F3236" s="163"/>
      <c r="G3236" s="163"/>
      <c r="H3236" s="163"/>
    </row>
    <row r="3237" spans="4:8" ht="11.25" customHeight="1">
      <c r="D3237" s="163"/>
      <c r="E3237" s="163"/>
      <c r="F3237" s="163"/>
      <c r="G3237" s="163"/>
      <c r="H3237" s="163"/>
    </row>
    <row r="3238" spans="4:8" ht="11.25" customHeight="1">
      <c r="D3238" s="163"/>
      <c r="E3238" s="163"/>
      <c r="F3238" s="163"/>
      <c r="G3238" s="163"/>
      <c r="H3238" s="163"/>
    </row>
    <row r="3239" spans="4:8" ht="11.25" customHeight="1">
      <c r="D3239" s="163"/>
      <c r="E3239" s="163"/>
      <c r="F3239" s="163"/>
      <c r="G3239" s="163"/>
      <c r="H3239" s="163"/>
    </row>
    <row r="3240" spans="4:8" ht="11.25" customHeight="1">
      <c r="D3240" s="163"/>
      <c r="E3240" s="163"/>
      <c r="F3240" s="163"/>
      <c r="G3240" s="163"/>
      <c r="H3240" s="163"/>
    </row>
    <row r="3241" spans="4:8" ht="11.25" customHeight="1">
      <c r="D3241" s="163"/>
      <c r="E3241" s="163"/>
      <c r="F3241" s="163"/>
      <c r="G3241" s="163"/>
      <c r="H3241" s="163"/>
    </row>
    <row r="3242" spans="4:8" ht="11.25" customHeight="1">
      <c r="D3242" s="163"/>
      <c r="E3242" s="163"/>
      <c r="F3242" s="163"/>
      <c r="G3242" s="163"/>
      <c r="H3242" s="163"/>
    </row>
    <row r="3243" spans="4:8" ht="11.25" customHeight="1">
      <c r="D3243" s="163"/>
      <c r="E3243" s="163"/>
      <c r="F3243" s="163"/>
      <c r="G3243" s="163"/>
      <c r="H3243" s="163"/>
    </row>
    <row r="3244" spans="4:8" ht="11.25" customHeight="1">
      <c r="D3244" s="163"/>
      <c r="E3244" s="163"/>
      <c r="F3244" s="163"/>
      <c r="G3244" s="163"/>
      <c r="H3244" s="163"/>
    </row>
    <row r="3245" spans="4:8" ht="11.25" customHeight="1">
      <c r="D3245" s="163"/>
      <c r="E3245" s="163"/>
      <c r="F3245" s="163"/>
      <c r="G3245" s="163"/>
      <c r="H3245" s="163"/>
    </row>
    <row r="3246" spans="4:8" ht="11.25" customHeight="1">
      <c r="D3246" s="163"/>
      <c r="E3246" s="163"/>
      <c r="F3246" s="163"/>
      <c r="G3246" s="163"/>
      <c r="H3246" s="163"/>
    </row>
    <row r="3247" spans="4:8" ht="11.25" customHeight="1">
      <c r="D3247" s="163"/>
      <c r="E3247" s="163"/>
      <c r="F3247" s="163"/>
      <c r="G3247" s="163"/>
      <c r="H3247" s="163"/>
    </row>
    <row r="3248" spans="4:8" ht="11.25" customHeight="1">
      <c r="D3248" s="163"/>
      <c r="E3248" s="163"/>
      <c r="F3248" s="163"/>
      <c r="G3248" s="163"/>
      <c r="H3248" s="163"/>
    </row>
    <row r="3249" spans="4:8" ht="11.25" customHeight="1">
      <c r="D3249" s="163"/>
      <c r="E3249" s="163"/>
      <c r="F3249" s="163"/>
      <c r="G3249" s="163"/>
      <c r="H3249" s="163"/>
    </row>
    <row r="3250" spans="4:8" ht="11.25" customHeight="1">
      <c r="D3250" s="163"/>
      <c r="E3250" s="163"/>
      <c r="F3250" s="163"/>
      <c r="G3250" s="163"/>
      <c r="H3250" s="163"/>
    </row>
    <row r="3251" spans="4:8" ht="11.25" customHeight="1">
      <c r="D3251" s="163"/>
      <c r="E3251" s="163"/>
      <c r="F3251" s="163"/>
      <c r="G3251" s="163"/>
      <c r="H3251" s="163"/>
    </row>
    <row r="3252" spans="4:8" ht="11.25" customHeight="1">
      <c r="D3252" s="163"/>
      <c r="E3252" s="163"/>
      <c r="F3252" s="163"/>
      <c r="G3252" s="163"/>
      <c r="H3252" s="163"/>
    </row>
    <row r="3253" spans="4:8" ht="11.25" customHeight="1">
      <c r="D3253" s="163"/>
      <c r="E3253" s="163"/>
      <c r="F3253" s="163"/>
      <c r="G3253" s="163"/>
      <c r="H3253" s="163"/>
    </row>
    <row r="3254" spans="4:8" ht="11.25" customHeight="1">
      <c r="D3254" s="163"/>
      <c r="E3254" s="163"/>
      <c r="F3254" s="163"/>
      <c r="G3254" s="163"/>
      <c r="H3254" s="163"/>
    </row>
    <row r="3255" spans="4:8" ht="11.25" customHeight="1">
      <c r="D3255" s="163"/>
      <c r="E3255" s="163"/>
      <c r="F3255" s="163"/>
      <c r="G3255" s="163"/>
      <c r="H3255" s="163"/>
    </row>
    <row r="3256" spans="4:8" ht="11.25" customHeight="1">
      <c r="D3256" s="163"/>
      <c r="E3256" s="163"/>
      <c r="F3256" s="163"/>
      <c r="G3256" s="163"/>
      <c r="H3256" s="163"/>
    </row>
    <row r="3257" spans="4:8" ht="11.25" customHeight="1">
      <c r="D3257" s="163"/>
      <c r="E3257" s="163"/>
      <c r="F3257" s="163"/>
      <c r="G3257" s="163"/>
      <c r="H3257" s="163"/>
    </row>
    <row r="3258" spans="4:8" ht="11.25" customHeight="1">
      <c r="D3258" s="163"/>
      <c r="E3258" s="163"/>
      <c r="F3258" s="163"/>
      <c r="G3258" s="163"/>
      <c r="H3258" s="163"/>
    </row>
    <row r="3259" spans="4:8" ht="11.25" customHeight="1">
      <c r="D3259" s="163"/>
      <c r="E3259" s="163"/>
      <c r="F3259" s="163"/>
      <c r="G3259" s="163"/>
      <c r="H3259" s="163"/>
    </row>
    <row r="3260" spans="4:8" ht="11.25" customHeight="1">
      <c r="D3260" s="163"/>
      <c r="E3260" s="163"/>
      <c r="F3260" s="163"/>
      <c r="G3260" s="163"/>
      <c r="H3260" s="163"/>
    </row>
    <row r="3261" spans="4:8" ht="11.25" customHeight="1">
      <c r="D3261" s="163"/>
      <c r="E3261" s="163"/>
      <c r="F3261" s="163"/>
      <c r="G3261" s="163"/>
      <c r="H3261" s="163"/>
    </row>
    <row r="3262" spans="4:8" ht="11.25" customHeight="1">
      <c r="D3262" s="163"/>
      <c r="E3262" s="163"/>
      <c r="F3262" s="163"/>
      <c r="G3262" s="163"/>
      <c r="H3262" s="163"/>
    </row>
    <row r="3263" spans="4:8" ht="11.25" customHeight="1">
      <c r="D3263" s="163"/>
      <c r="E3263" s="163"/>
      <c r="F3263" s="163"/>
      <c r="G3263" s="163"/>
      <c r="H3263" s="163"/>
    </row>
    <row r="3264" spans="4:8" ht="11.25" customHeight="1">
      <c r="D3264" s="163"/>
      <c r="E3264" s="163"/>
      <c r="F3264" s="163"/>
      <c r="G3264" s="163"/>
      <c r="H3264" s="163"/>
    </row>
    <row r="3265" spans="4:8" ht="11.25" customHeight="1">
      <c r="D3265" s="163"/>
      <c r="E3265" s="163"/>
      <c r="F3265" s="163"/>
      <c r="G3265" s="163"/>
      <c r="H3265" s="163"/>
    </row>
    <row r="3266" spans="4:8" ht="11.25" customHeight="1">
      <c r="D3266" s="163"/>
      <c r="E3266" s="163"/>
      <c r="F3266" s="163"/>
      <c r="G3266" s="163"/>
      <c r="H3266" s="163"/>
    </row>
    <row r="3267" spans="4:8" ht="11.25" customHeight="1">
      <c r="D3267" s="163"/>
      <c r="E3267" s="163"/>
      <c r="F3267" s="163"/>
      <c r="G3267" s="163"/>
      <c r="H3267" s="163"/>
    </row>
    <row r="3268" spans="4:8" ht="11.25" customHeight="1">
      <c r="D3268" s="163"/>
      <c r="E3268" s="163"/>
      <c r="F3268" s="163"/>
      <c r="G3268" s="163"/>
      <c r="H3268" s="163"/>
    </row>
    <row r="3269" spans="4:8" ht="11.25" customHeight="1">
      <c r="D3269" s="163"/>
      <c r="E3269" s="163"/>
      <c r="F3269" s="163"/>
      <c r="G3269" s="163"/>
      <c r="H3269" s="163"/>
    </row>
    <row r="3270" spans="4:8" ht="11.25" customHeight="1">
      <c r="D3270" s="163"/>
      <c r="E3270" s="163"/>
      <c r="F3270" s="163"/>
      <c r="G3270" s="163"/>
      <c r="H3270" s="163"/>
    </row>
    <row r="3271" spans="4:8" ht="11.25" customHeight="1">
      <c r="D3271" s="163"/>
      <c r="E3271" s="163"/>
      <c r="F3271" s="163"/>
      <c r="G3271" s="163"/>
      <c r="H3271" s="163"/>
    </row>
    <row r="3272" spans="4:8" ht="11.25" customHeight="1">
      <c r="D3272" s="163"/>
      <c r="E3272" s="163"/>
      <c r="F3272" s="163"/>
      <c r="G3272" s="163"/>
      <c r="H3272" s="163"/>
    </row>
    <row r="3273" spans="4:8" ht="11.25" customHeight="1">
      <c r="D3273" s="163"/>
      <c r="E3273" s="163"/>
      <c r="F3273" s="163"/>
      <c r="G3273" s="163"/>
      <c r="H3273" s="163"/>
    </row>
    <row r="3274" spans="4:8" ht="11.25" customHeight="1">
      <c r="D3274" s="163"/>
      <c r="E3274" s="163"/>
      <c r="F3274" s="163"/>
      <c r="G3274" s="163"/>
      <c r="H3274" s="163"/>
    </row>
    <row r="3275" spans="4:8" ht="11.25" customHeight="1">
      <c r="D3275" s="163"/>
      <c r="E3275" s="163"/>
      <c r="F3275" s="163"/>
      <c r="G3275" s="163"/>
      <c r="H3275" s="163"/>
    </row>
    <row r="3276" spans="4:8" ht="11.25" customHeight="1">
      <c r="D3276" s="163"/>
      <c r="E3276" s="163"/>
      <c r="F3276" s="163"/>
      <c r="G3276" s="163"/>
      <c r="H3276" s="163"/>
    </row>
    <row r="3277" spans="4:8" ht="11.25" customHeight="1">
      <c r="D3277" s="163"/>
      <c r="E3277" s="163"/>
      <c r="F3277" s="163"/>
      <c r="G3277" s="163"/>
      <c r="H3277" s="163"/>
    </row>
    <row r="3278" spans="4:8" ht="11.25" customHeight="1">
      <c r="D3278" s="163"/>
      <c r="E3278" s="163"/>
      <c r="F3278" s="163"/>
      <c r="G3278" s="163"/>
      <c r="H3278" s="163"/>
    </row>
    <row r="3279" spans="4:8" ht="11.25" customHeight="1">
      <c r="D3279" s="163"/>
      <c r="E3279" s="163"/>
      <c r="F3279" s="163"/>
      <c r="G3279" s="163"/>
      <c r="H3279" s="163"/>
    </row>
    <row r="3280" spans="4:8" ht="11.25" customHeight="1">
      <c r="D3280" s="163"/>
      <c r="E3280" s="163"/>
      <c r="F3280" s="163"/>
      <c r="G3280" s="163"/>
      <c r="H3280" s="163"/>
    </row>
    <row r="3281" spans="4:8" ht="11.25" customHeight="1">
      <c r="D3281" s="163"/>
      <c r="E3281" s="163"/>
      <c r="F3281" s="163"/>
      <c r="G3281" s="163"/>
      <c r="H3281" s="163"/>
    </row>
    <row r="3282" spans="4:8" ht="11.25" customHeight="1">
      <c r="D3282" s="163"/>
      <c r="E3282" s="163"/>
      <c r="F3282" s="163"/>
      <c r="G3282" s="163"/>
      <c r="H3282" s="163"/>
    </row>
    <row r="3283" spans="4:8" ht="11.25" customHeight="1">
      <c r="D3283" s="163"/>
      <c r="E3283" s="163"/>
      <c r="F3283" s="163"/>
      <c r="G3283" s="163"/>
      <c r="H3283" s="163"/>
    </row>
    <row r="3284" spans="4:8" ht="11.25" customHeight="1">
      <c r="D3284" s="163"/>
      <c r="E3284" s="163"/>
      <c r="F3284" s="163"/>
      <c r="G3284" s="163"/>
      <c r="H3284" s="163"/>
    </row>
    <row r="3285" spans="4:8" ht="11.25" customHeight="1">
      <c r="D3285" s="163"/>
      <c r="E3285" s="163"/>
      <c r="F3285" s="163"/>
      <c r="G3285" s="163"/>
      <c r="H3285" s="163"/>
    </row>
    <row r="3286" spans="4:8" ht="11.25" customHeight="1">
      <c r="D3286" s="163"/>
      <c r="E3286" s="163"/>
      <c r="F3286" s="163"/>
      <c r="G3286" s="163"/>
      <c r="H3286" s="163"/>
    </row>
    <row r="3287" spans="4:8" ht="11.25" customHeight="1">
      <c r="D3287" s="163"/>
      <c r="E3287" s="163"/>
      <c r="F3287" s="163"/>
      <c r="G3287" s="163"/>
      <c r="H3287" s="163"/>
    </row>
    <row r="3288" spans="4:8" ht="11.25" customHeight="1">
      <c r="D3288" s="163"/>
      <c r="E3288" s="163"/>
      <c r="F3288" s="163"/>
      <c r="G3288" s="163"/>
      <c r="H3288" s="163"/>
    </row>
    <row r="3289" spans="4:8" ht="11.25" customHeight="1">
      <c r="D3289" s="163"/>
      <c r="E3289" s="163"/>
      <c r="F3289" s="163"/>
      <c r="G3289" s="163"/>
      <c r="H3289" s="163"/>
    </row>
    <row r="3290" spans="4:8" ht="11.25" customHeight="1">
      <c r="D3290" s="163"/>
      <c r="E3290" s="163"/>
      <c r="F3290" s="163"/>
      <c r="G3290" s="163"/>
      <c r="H3290" s="163"/>
    </row>
    <row r="3291" spans="4:8" ht="11.25" customHeight="1">
      <c r="D3291" s="163"/>
      <c r="E3291" s="163"/>
      <c r="F3291" s="163"/>
      <c r="G3291" s="163"/>
      <c r="H3291" s="163"/>
    </row>
    <row r="3292" spans="4:8" ht="11.25" customHeight="1">
      <c r="D3292" s="163"/>
      <c r="E3292" s="163"/>
      <c r="F3292" s="163"/>
      <c r="G3292" s="163"/>
      <c r="H3292" s="163"/>
    </row>
    <row r="3293" spans="4:8" ht="11.25" customHeight="1">
      <c r="D3293" s="163"/>
      <c r="E3293" s="163"/>
      <c r="F3293" s="163"/>
      <c r="G3293" s="163"/>
      <c r="H3293" s="163"/>
    </row>
    <row r="3294" spans="4:8" ht="11.25" customHeight="1">
      <c r="D3294" s="163"/>
      <c r="E3294" s="163"/>
      <c r="F3294" s="163"/>
      <c r="G3294" s="163"/>
      <c r="H3294" s="163"/>
    </row>
    <row r="3295" spans="4:8" ht="11.25" customHeight="1">
      <c r="D3295" s="163"/>
      <c r="E3295" s="163"/>
      <c r="F3295" s="163"/>
      <c r="G3295" s="163"/>
      <c r="H3295" s="163"/>
    </row>
    <row r="3296" spans="4:8" ht="11.25" customHeight="1">
      <c r="D3296" s="163"/>
      <c r="E3296" s="163"/>
      <c r="F3296" s="163"/>
      <c r="G3296" s="163"/>
      <c r="H3296" s="163"/>
    </row>
    <row r="3297" spans="4:8" ht="11.25" customHeight="1">
      <c r="D3297" s="163"/>
      <c r="E3297" s="163"/>
      <c r="F3297" s="163"/>
      <c r="G3297" s="163"/>
      <c r="H3297" s="163"/>
    </row>
    <row r="3298" spans="4:8" ht="11.25" customHeight="1">
      <c r="D3298" s="163"/>
      <c r="E3298" s="163"/>
      <c r="F3298" s="163"/>
      <c r="G3298" s="163"/>
      <c r="H3298" s="163"/>
    </row>
    <row r="3299" spans="4:8" ht="11.25" customHeight="1">
      <c r="D3299" s="163"/>
      <c r="E3299" s="163"/>
      <c r="F3299" s="163"/>
      <c r="G3299" s="163"/>
      <c r="H3299" s="163"/>
    </row>
    <row r="3300" spans="4:8" ht="11.25" customHeight="1">
      <c r="D3300" s="163"/>
      <c r="E3300" s="163"/>
      <c r="F3300" s="163"/>
      <c r="G3300" s="163"/>
      <c r="H3300" s="163"/>
    </row>
    <row r="3301" spans="4:8" ht="11.25" customHeight="1">
      <c r="D3301" s="163"/>
      <c r="E3301" s="163"/>
      <c r="F3301" s="163"/>
      <c r="G3301" s="163"/>
      <c r="H3301" s="163"/>
    </row>
    <row r="3302" spans="4:8" ht="11.25" customHeight="1">
      <c r="D3302" s="163"/>
      <c r="E3302" s="163"/>
      <c r="F3302" s="163"/>
      <c r="G3302" s="163"/>
      <c r="H3302" s="163"/>
    </row>
    <row r="3303" spans="4:8" ht="11.25" customHeight="1">
      <c r="D3303" s="163"/>
      <c r="E3303" s="163"/>
      <c r="F3303" s="163"/>
      <c r="G3303" s="163"/>
      <c r="H3303" s="163"/>
    </row>
    <row r="3304" spans="4:8" ht="11.25" customHeight="1">
      <c r="D3304" s="163"/>
      <c r="E3304" s="163"/>
      <c r="F3304" s="163"/>
      <c r="G3304" s="163"/>
      <c r="H3304" s="163"/>
    </row>
    <row r="3305" spans="4:8" ht="11.25" customHeight="1">
      <c r="D3305" s="163"/>
      <c r="E3305" s="163"/>
      <c r="F3305" s="163"/>
      <c r="G3305" s="163"/>
      <c r="H3305" s="163"/>
    </row>
    <row r="3306" spans="4:8" ht="11.25" customHeight="1">
      <c r="D3306" s="163"/>
      <c r="E3306" s="163"/>
      <c r="F3306" s="163"/>
      <c r="G3306" s="163"/>
      <c r="H3306" s="163"/>
    </row>
    <row r="3307" spans="4:8" ht="11.25" customHeight="1">
      <c r="D3307" s="163"/>
      <c r="E3307" s="163"/>
      <c r="F3307" s="163"/>
      <c r="G3307" s="163"/>
      <c r="H3307" s="163"/>
    </row>
    <row r="3308" spans="4:8" ht="11.25" customHeight="1">
      <c r="D3308" s="163"/>
      <c r="E3308" s="163"/>
      <c r="F3308" s="163"/>
      <c r="G3308" s="163"/>
      <c r="H3308" s="163"/>
    </row>
    <row r="3309" spans="4:8" ht="11.25" customHeight="1">
      <c r="D3309" s="163"/>
      <c r="E3309" s="163"/>
      <c r="F3309" s="163"/>
      <c r="G3309" s="163"/>
      <c r="H3309" s="163"/>
    </row>
    <row r="3310" spans="4:8" ht="11.25" customHeight="1">
      <c r="D3310" s="163"/>
      <c r="E3310" s="163"/>
      <c r="F3310" s="163"/>
      <c r="G3310" s="163"/>
      <c r="H3310" s="163"/>
    </row>
    <row r="3311" spans="4:8" ht="11.25" customHeight="1">
      <c r="D3311" s="163"/>
      <c r="E3311" s="163"/>
      <c r="F3311" s="163"/>
      <c r="G3311" s="163"/>
      <c r="H3311" s="163"/>
    </row>
    <row r="3312" spans="4:8" ht="11.25" customHeight="1">
      <c r="D3312" s="163"/>
      <c r="E3312" s="163"/>
      <c r="F3312" s="163"/>
      <c r="G3312" s="163"/>
      <c r="H3312" s="163"/>
    </row>
    <row r="3313" spans="4:8" ht="11.25" customHeight="1">
      <c r="D3313" s="163"/>
      <c r="E3313" s="163"/>
      <c r="F3313" s="163"/>
      <c r="G3313" s="163"/>
      <c r="H3313" s="163"/>
    </row>
    <row r="3314" spans="4:8" ht="11.25" customHeight="1">
      <c r="D3314" s="163"/>
      <c r="E3314" s="163"/>
      <c r="F3314" s="163"/>
      <c r="G3314" s="163"/>
      <c r="H3314" s="163"/>
    </row>
    <row r="3315" spans="4:8" ht="11.25" customHeight="1">
      <c r="D3315" s="163"/>
      <c r="E3315" s="163"/>
      <c r="F3315" s="163"/>
      <c r="G3315" s="163"/>
      <c r="H3315" s="163"/>
    </row>
    <row r="3316" spans="4:8" ht="11.25" customHeight="1">
      <c r="D3316" s="163"/>
      <c r="E3316" s="163"/>
      <c r="F3316" s="163"/>
      <c r="G3316" s="163"/>
      <c r="H3316" s="163"/>
    </row>
    <row r="3317" spans="4:8" ht="11.25" customHeight="1">
      <c r="D3317" s="163"/>
      <c r="E3317" s="163"/>
      <c r="F3317" s="163"/>
      <c r="G3317" s="163"/>
      <c r="H3317" s="163"/>
    </row>
    <row r="3318" spans="4:8" ht="11.25" customHeight="1">
      <c r="D3318" s="163"/>
      <c r="E3318" s="163"/>
      <c r="F3318" s="163"/>
      <c r="G3318" s="163"/>
      <c r="H3318" s="163"/>
    </row>
    <row r="3319" spans="4:8" ht="11.25" customHeight="1">
      <c r="D3319" s="163"/>
      <c r="E3319" s="163"/>
      <c r="F3319" s="163"/>
      <c r="G3319" s="163"/>
      <c r="H3319" s="163"/>
    </row>
    <row r="3320" spans="4:8" ht="11.25" customHeight="1">
      <c r="D3320" s="163"/>
      <c r="E3320" s="163"/>
      <c r="F3320" s="163"/>
      <c r="G3320" s="163"/>
      <c r="H3320" s="163"/>
    </row>
    <row r="3321" spans="4:8" ht="11.25" customHeight="1">
      <c r="D3321" s="163"/>
      <c r="E3321" s="163"/>
      <c r="F3321" s="163"/>
      <c r="G3321" s="163"/>
      <c r="H3321" s="163"/>
    </row>
    <row r="3322" spans="4:8" ht="11.25" customHeight="1">
      <c r="D3322" s="163"/>
      <c r="E3322" s="163"/>
      <c r="F3322" s="163"/>
      <c r="G3322" s="163"/>
      <c r="H3322" s="163"/>
    </row>
    <row r="3323" spans="4:8" ht="11.25" customHeight="1">
      <c r="D3323" s="163"/>
      <c r="E3323" s="163"/>
      <c r="F3323" s="163"/>
      <c r="G3323" s="163"/>
      <c r="H3323" s="163"/>
    </row>
    <row r="3324" spans="4:8" ht="11.25" customHeight="1">
      <c r="D3324" s="163"/>
      <c r="E3324" s="163"/>
      <c r="F3324" s="163"/>
      <c r="G3324" s="163"/>
      <c r="H3324" s="163"/>
    </row>
    <row r="3325" spans="4:8" ht="11.25" customHeight="1">
      <c r="D3325" s="163"/>
      <c r="E3325" s="163"/>
      <c r="F3325" s="163"/>
      <c r="G3325" s="163"/>
      <c r="H3325" s="163"/>
    </row>
    <row r="3326" spans="4:8" ht="11.25" customHeight="1">
      <c r="D3326" s="163"/>
      <c r="E3326" s="163"/>
      <c r="F3326" s="163"/>
      <c r="G3326" s="163"/>
      <c r="H3326" s="163"/>
    </row>
    <row r="3327" spans="4:8" ht="11.25" customHeight="1">
      <c r="D3327" s="163"/>
      <c r="E3327" s="163"/>
      <c r="F3327" s="163"/>
      <c r="G3327" s="163"/>
      <c r="H3327" s="163"/>
    </row>
    <row r="3328" spans="4:8" ht="11.25" customHeight="1">
      <c r="D3328" s="163"/>
      <c r="E3328" s="163"/>
      <c r="F3328" s="163"/>
      <c r="G3328" s="163"/>
      <c r="H3328" s="163"/>
    </row>
    <row r="3329" spans="4:8" ht="11.25" customHeight="1">
      <c r="D3329" s="163"/>
      <c r="E3329" s="163"/>
      <c r="F3329" s="163"/>
      <c r="G3329" s="163"/>
      <c r="H3329" s="163"/>
    </row>
    <row r="3330" spans="4:8" ht="11.25" customHeight="1">
      <c r="D3330" s="163"/>
      <c r="E3330" s="163"/>
      <c r="F3330" s="163"/>
      <c r="G3330" s="163"/>
      <c r="H3330" s="163"/>
    </row>
    <row r="3331" spans="4:8" ht="11.25" customHeight="1">
      <c r="D3331" s="163"/>
      <c r="E3331" s="163"/>
      <c r="F3331" s="163"/>
      <c r="G3331" s="163"/>
      <c r="H3331" s="163"/>
    </row>
    <row r="3332" spans="4:8" ht="11.25" customHeight="1">
      <c r="D3332" s="163"/>
      <c r="E3332" s="163"/>
      <c r="F3332" s="163"/>
      <c r="G3332" s="163"/>
      <c r="H3332" s="163"/>
    </row>
    <row r="3333" spans="4:8" ht="11.25" customHeight="1">
      <c r="D3333" s="163"/>
      <c r="E3333" s="163"/>
      <c r="F3333" s="163"/>
      <c r="G3333" s="163"/>
      <c r="H3333" s="163"/>
    </row>
    <row r="3334" spans="4:8" ht="11.25" customHeight="1">
      <c r="D3334" s="163"/>
      <c r="E3334" s="163"/>
      <c r="F3334" s="163"/>
      <c r="G3334" s="163"/>
      <c r="H3334" s="163"/>
    </row>
    <row r="3335" spans="4:8" ht="11.25" customHeight="1">
      <c r="D3335" s="163"/>
      <c r="E3335" s="163"/>
      <c r="F3335" s="163"/>
      <c r="G3335" s="163"/>
      <c r="H3335" s="163"/>
    </row>
    <row r="3336" spans="4:8" ht="11.25" customHeight="1">
      <c r="D3336" s="163"/>
      <c r="E3336" s="163"/>
      <c r="F3336" s="163"/>
      <c r="G3336" s="163"/>
      <c r="H3336" s="163"/>
    </row>
    <row r="3337" spans="4:8" ht="11.25" customHeight="1">
      <c r="D3337" s="163"/>
      <c r="E3337" s="163"/>
      <c r="F3337" s="163"/>
      <c r="G3337" s="163"/>
      <c r="H3337" s="163"/>
    </row>
    <row r="3338" spans="4:8" ht="11.25" customHeight="1">
      <c r="D3338" s="163"/>
      <c r="E3338" s="163"/>
      <c r="F3338" s="163"/>
      <c r="G3338" s="163"/>
      <c r="H3338" s="163"/>
    </row>
    <row r="3339" spans="4:8" ht="11.25" customHeight="1">
      <c r="D3339" s="163"/>
      <c r="E3339" s="163"/>
      <c r="F3339" s="163"/>
      <c r="G3339" s="163"/>
      <c r="H3339" s="163"/>
    </row>
    <row r="3340" spans="4:8" ht="11.25" customHeight="1">
      <c r="D3340" s="163"/>
      <c r="E3340" s="163"/>
      <c r="F3340" s="163"/>
      <c r="G3340" s="163"/>
      <c r="H3340" s="163"/>
    </row>
    <row r="3341" spans="4:8" ht="11.25" customHeight="1">
      <c r="D3341" s="163"/>
      <c r="E3341" s="163"/>
      <c r="F3341" s="163"/>
      <c r="G3341" s="163"/>
      <c r="H3341" s="163"/>
    </row>
    <row r="3342" spans="4:8" ht="11.25" customHeight="1">
      <c r="D3342" s="163"/>
      <c r="E3342" s="163"/>
      <c r="F3342" s="163"/>
      <c r="G3342" s="163"/>
      <c r="H3342" s="163"/>
    </row>
    <row r="3343" spans="4:8" ht="11.25" customHeight="1">
      <c r="D3343" s="163"/>
      <c r="E3343" s="163"/>
      <c r="F3343" s="163"/>
      <c r="G3343" s="163"/>
      <c r="H3343" s="163"/>
    </row>
    <row r="3344" spans="4:8" ht="11.25" customHeight="1">
      <c r="D3344" s="163"/>
      <c r="E3344" s="163"/>
      <c r="F3344" s="163"/>
      <c r="G3344" s="163"/>
      <c r="H3344" s="163"/>
    </row>
    <row r="3345" spans="4:8" ht="11.25" customHeight="1">
      <c r="D3345" s="163"/>
      <c r="E3345" s="163"/>
      <c r="F3345" s="163"/>
      <c r="G3345" s="163"/>
      <c r="H3345" s="163"/>
    </row>
    <row r="3346" spans="4:8" ht="11.25" customHeight="1">
      <c r="D3346" s="163"/>
      <c r="E3346" s="163"/>
      <c r="F3346" s="163"/>
      <c r="G3346" s="163"/>
      <c r="H3346" s="163"/>
    </row>
    <row r="3347" spans="4:8" ht="11.25" customHeight="1">
      <c r="D3347" s="163"/>
      <c r="E3347" s="163"/>
      <c r="F3347" s="163"/>
      <c r="G3347" s="163"/>
      <c r="H3347" s="163"/>
    </row>
    <row r="3348" spans="4:8" ht="11.25" customHeight="1">
      <c r="D3348" s="163"/>
      <c r="E3348" s="163"/>
      <c r="F3348" s="163"/>
      <c r="G3348" s="163"/>
      <c r="H3348" s="163"/>
    </row>
    <row r="3349" spans="4:8" ht="11.25" customHeight="1">
      <c r="D3349" s="163"/>
      <c r="E3349" s="163"/>
      <c r="F3349" s="163"/>
      <c r="G3349" s="163"/>
      <c r="H3349" s="163"/>
    </row>
    <row r="3350" spans="4:8" ht="11.25" customHeight="1">
      <c r="D3350" s="163"/>
      <c r="E3350" s="163"/>
      <c r="F3350" s="163"/>
      <c r="G3350" s="163"/>
      <c r="H3350" s="163"/>
    </row>
    <row r="3351" spans="4:8" ht="11.25" customHeight="1">
      <c r="D3351" s="163"/>
      <c r="E3351" s="163"/>
      <c r="F3351" s="163"/>
      <c r="G3351" s="163"/>
      <c r="H3351" s="163"/>
    </row>
    <row r="3352" spans="4:8" ht="11.25" customHeight="1">
      <c r="D3352" s="163"/>
      <c r="E3352" s="163"/>
      <c r="F3352" s="163"/>
      <c r="G3352" s="163"/>
      <c r="H3352" s="163"/>
    </row>
    <row r="3353" spans="4:8" ht="11.25" customHeight="1">
      <c r="D3353" s="163"/>
      <c r="E3353" s="163"/>
      <c r="F3353" s="163"/>
      <c r="G3353" s="163"/>
      <c r="H3353" s="163"/>
    </row>
    <row r="3354" spans="4:8" ht="11.25" customHeight="1">
      <c r="D3354" s="163"/>
      <c r="E3354" s="163"/>
      <c r="F3354" s="163"/>
      <c r="G3354" s="163"/>
      <c r="H3354" s="163"/>
    </row>
    <row r="3355" spans="4:8" ht="11.25" customHeight="1">
      <c r="D3355" s="163"/>
      <c r="E3355" s="163"/>
      <c r="F3355" s="163"/>
      <c r="G3355" s="163"/>
      <c r="H3355" s="163"/>
    </row>
    <row r="3356" spans="4:8" ht="11.25" customHeight="1">
      <c r="D3356" s="163"/>
      <c r="E3356" s="163"/>
      <c r="F3356" s="163"/>
      <c r="G3356" s="163"/>
      <c r="H3356" s="163"/>
    </row>
    <row r="3357" spans="4:8" ht="11.25" customHeight="1">
      <c r="D3357" s="163"/>
      <c r="E3357" s="163"/>
      <c r="F3357" s="163"/>
      <c r="G3357" s="163"/>
      <c r="H3357" s="163"/>
    </row>
    <row r="3358" spans="4:8" ht="11.25" customHeight="1">
      <c r="D3358" s="163"/>
      <c r="E3358" s="163"/>
      <c r="F3358" s="163"/>
      <c r="G3358" s="163"/>
      <c r="H3358" s="163"/>
    </row>
    <row r="3359" spans="4:8" ht="11.25" customHeight="1">
      <c r="D3359" s="163"/>
      <c r="E3359" s="163"/>
      <c r="F3359" s="163"/>
      <c r="G3359" s="163"/>
      <c r="H3359" s="163"/>
    </row>
    <row r="3360" spans="4:8" ht="11.25" customHeight="1">
      <c r="D3360" s="163"/>
      <c r="E3360" s="163"/>
      <c r="F3360" s="163"/>
      <c r="G3360" s="163"/>
      <c r="H3360" s="163"/>
    </row>
    <row r="3361" spans="4:8" ht="11.25" customHeight="1">
      <c r="D3361" s="163"/>
      <c r="E3361" s="163"/>
      <c r="F3361" s="163"/>
      <c r="G3361" s="163"/>
      <c r="H3361" s="163"/>
    </row>
    <row r="3362" spans="4:8" ht="11.25" customHeight="1">
      <c r="D3362" s="163"/>
      <c r="E3362" s="163"/>
      <c r="F3362" s="163"/>
      <c r="G3362" s="163"/>
      <c r="H3362" s="163"/>
    </row>
    <row r="3363" spans="4:8" ht="11.25" customHeight="1">
      <c r="D3363" s="163"/>
      <c r="E3363" s="163"/>
      <c r="F3363" s="163"/>
      <c r="G3363" s="163"/>
      <c r="H3363" s="163"/>
    </row>
    <row r="3364" spans="4:8" ht="11.25" customHeight="1">
      <c r="D3364" s="163"/>
      <c r="E3364" s="163"/>
      <c r="F3364" s="163"/>
      <c r="G3364" s="163"/>
      <c r="H3364" s="163"/>
    </row>
    <row r="3365" spans="4:8" ht="11.25" customHeight="1">
      <c r="D3365" s="163"/>
      <c r="E3365" s="163"/>
      <c r="F3365" s="163"/>
      <c r="G3365" s="163"/>
      <c r="H3365" s="163"/>
    </row>
    <row r="3366" spans="4:8" ht="11.25" customHeight="1">
      <c r="D3366" s="163"/>
      <c r="E3366" s="163"/>
      <c r="F3366" s="163"/>
      <c r="G3366" s="163"/>
      <c r="H3366" s="163"/>
    </row>
    <row r="3367" spans="4:8" ht="11.25" customHeight="1">
      <c r="D3367" s="163"/>
      <c r="E3367" s="163"/>
      <c r="F3367" s="163"/>
      <c r="G3367" s="163"/>
      <c r="H3367" s="163"/>
    </row>
    <row r="3368" spans="4:8" ht="11.25" customHeight="1">
      <c r="D3368" s="163"/>
      <c r="E3368" s="163"/>
      <c r="F3368" s="163"/>
      <c r="G3368" s="163"/>
      <c r="H3368" s="163"/>
    </row>
    <row r="3369" spans="4:8" ht="11.25" customHeight="1">
      <c r="D3369" s="163"/>
      <c r="E3369" s="163"/>
      <c r="F3369" s="163"/>
      <c r="G3369" s="163"/>
      <c r="H3369" s="163"/>
    </row>
    <row r="3370" spans="4:8" ht="11.25" customHeight="1">
      <c r="D3370" s="163"/>
      <c r="E3370" s="163"/>
      <c r="F3370" s="163"/>
      <c r="G3370" s="163"/>
      <c r="H3370" s="163"/>
    </row>
    <row r="3371" spans="4:8" ht="11.25" customHeight="1">
      <c r="D3371" s="163"/>
      <c r="E3371" s="163"/>
      <c r="F3371" s="163"/>
      <c r="G3371" s="163"/>
      <c r="H3371" s="163"/>
    </row>
    <row r="3372" spans="4:8" ht="11.25" customHeight="1">
      <c r="D3372" s="163"/>
      <c r="E3372" s="163"/>
      <c r="F3372" s="163"/>
      <c r="G3372" s="163"/>
      <c r="H3372" s="163"/>
    </row>
    <row r="3373" spans="4:8" ht="11.25" customHeight="1">
      <c r="D3373" s="163"/>
      <c r="E3373" s="163"/>
      <c r="F3373" s="163"/>
      <c r="G3373" s="163"/>
      <c r="H3373" s="163"/>
    </row>
    <row r="3374" spans="4:8" ht="11.25" customHeight="1">
      <c r="D3374" s="163"/>
      <c r="E3374" s="163"/>
      <c r="F3374" s="163"/>
      <c r="G3374" s="163"/>
      <c r="H3374" s="163"/>
    </row>
    <row r="3375" spans="4:8" ht="11.25" customHeight="1">
      <c r="D3375" s="163"/>
      <c r="E3375" s="163"/>
      <c r="F3375" s="163"/>
      <c r="G3375" s="163"/>
      <c r="H3375" s="163"/>
    </row>
    <row r="3376" spans="4:8" ht="11.25" customHeight="1">
      <c r="D3376" s="163"/>
      <c r="E3376" s="163"/>
      <c r="F3376" s="163"/>
      <c r="G3376" s="163"/>
      <c r="H3376" s="163"/>
    </row>
    <row r="3377" spans="4:8" ht="11.25" customHeight="1">
      <c r="D3377" s="163"/>
      <c r="E3377" s="163"/>
      <c r="F3377" s="163"/>
      <c r="G3377" s="163"/>
      <c r="H3377" s="163"/>
    </row>
    <row r="3378" spans="4:8" ht="11.25" customHeight="1">
      <c r="D3378" s="163"/>
      <c r="E3378" s="163"/>
      <c r="F3378" s="163"/>
      <c r="G3378" s="163"/>
      <c r="H3378" s="163"/>
    </row>
    <row r="3379" spans="4:8" ht="11.25" customHeight="1">
      <c r="D3379" s="163"/>
      <c r="E3379" s="163"/>
      <c r="F3379" s="163"/>
      <c r="G3379" s="163"/>
      <c r="H3379" s="163"/>
    </row>
    <row r="3380" spans="4:8" ht="11.25" customHeight="1">
      <c r="D3380" s="163"/>
      <c r="E3380" s="163"/>
      <c r="F3380" s="163"/>
      <c r="G3380" s="163"/>
      <c r="H3380" s="163"/>
    </row>
    <row r="3381" spans="4:8" ht="11.25" customHeight="1">
      <c r="D3381" s="163"/>
      <c r="E3381" s="163"/>
      <c r="F3381" s="163"/>
      <c r="G3381" s="163"/>
      <c r="H3381" s="163"/>
    </row>
    <row r="3382" spans="4:8" ht="11.25" customHeight="1">
      <c r="D3382" s="163"/>
      <c r="E3382" s="163"/>
      <c r="F3382" s="163"/>
      <c r="G3382" s="163"/>
      <c r="H3382" s="163"/>
    </row>
    <row r="3383" spans="4:8" ht="11.25" customHeight="1">
      <c r="D3383" s="163"/>
      <c r="E3383" s="163"/>
      <c r="F3383" s="163"/>
      <c r="G3383" s="163"/>
      <c r="H3383" s="163"/>
    </row>
    <row r="3384" spans="4:8" ht="11.25" customHeight="1">
      <c r="D3384" s="163"/>
      <c r="E3384" s="163"/>
      <c r="F3384" s="163"/>
      <c r="G3384" s="163"/>
      <c r="H3384" s="163"/>
    </row>
    <row r="3385" spans="4:8" ht="11.25" customHeight="1">
      <c r="D3385" s="163"/>
      <c r="E3385" s="163"/>
      <c r="F3385" s="163"/>
      <c r="G3385" s="163"/>
      <c r="H3385" s="163"/>
    </row>
    <row r="3386" spans="4:8" ht="11.25" customHeight="1">
      <c r="D3386" s="163"/>
      <c r="E3386" s="163"/>
      <c r="F3386" s="163"/>
      <c r="G3386" s="163"/>
      <c r="H3386" s="163"/>
    </row>
    <row r="3387" spans="4:8" ht="11.25" customHeight="1">
      <c r="D3387" s="163"/>
      <c r="E3387" s="163"/>
      <c r="F3387" s="163"/>
      <c r="G3387" s="163"/>
      <c r="H3387" s="163"/>
    </row>
    <row r="3388" spans="4:8" ht="11.25" customHeight="1">
      <c r="D3388" s="163"/>
      <c r="E3388" s="163"/>
      <c r="F3388" s="163"/>
      <c r="G3388" s="163"/>
      <c r="H3388" s="163"/>
    </row>
    <row r="3389" spans="4:8" ht="11.25" customHeight="1">
      <c r="D3389" s="163"/>
      <c r="E3389" s="163"/>
      <c r="F3389" s="163"/>
      <c r="G3389" s="163"/>
      <c r="H3389" s="163"/>
    </row>
    <row r="3390" spans="4:8" ht="11.25" customHeight="1">
      <c r="D3390" s="163"/>
      <c r="E3390" s="163"/>
      <c r="F3390" s="163"/>
      <c r="G3390" s="163"/>
      <c r="H3390" s="163"/>
    </row>
    <row r="3391" spans="4:8" ht="11.25" customHeight="1">
      <c r="D3391" s="163"/>
      <c r="E3391" s="163"/>
      <c r="F3391" s="163"/>
      <c r="G3391" s="163"/>
      <c r="H3391" s="163"/>
    </row>
    <row r="3392" spans="4:8" ht="11.25" customHeight="1">
      <c r="D3392" s="163"/>
      <c r="E3392" s="163"/>
      <c r="F3392" s="163"/>
      <c r="G3392" s="163"/>
      <c r="H3392" s="163"/>
    </row>
    <row r="3393" spans="4:8" ht="11.25" customHeight="1">
      <c r="D3393" s="163"/>
      <c r="E3393" s="163"/>
      <c r="F3393" s="163"/>
      <c r="G3393" s="163"/>
      <c r="H3393" s="163"/>
    </row>
    <row r="3394" spans="4:8" ht="11.25" customHeight="1">
      <c r="D3394" s="163"/>
      <c r="E3394" s="163"/>
      <c r="F3394" s="163"/>
      <c r="G3394" s="163"/>
      <c r="H3394" s="163"/>
    </row>
    <row r="3395" spans="4:8" ht="11.25" customHeight="1">
      <c r="D3395" s="163"/>
      <c r="E3395" s="163"/>
      <c r="F3395" s="163"/>
      <c r="G3395" s="163"/>
      <c r="H3395" s="163"/>
    </row>
    <row r="3396" spans="4:8" ht="11.25" customHeight="1">
      <c r="D3396" s="163"/>
      <c r="E3396" s="163"/>
      <c r="F3396" s="163"/>
      <c r="G3396" s="163"/>
      <c r="H3396" s="163"/>
    </row>
    <row r="3397" spans="4:8" ht="11.25" customHeight="1">
      <c r="D3397" s="163"/>
      <c r="E3397" s="163"/>
      <c r="F3397" s="163"/>
      <c r="G3397" s="163"/>
      <c r="H3397" s="163"/>
    </row>
    <row r="3398" spans="4:8" ht="11.25" customHeight="1">
      <c r="D3398" s="163"/>
      <c r="E3398" s="163"/>
      <c r="F3398" s="163"/>
      <c r="G3398" s="163"/>
      <c r="H3398" s="163"/>
    </row>
    <row r="3399" spans="4:8" ht="11.25" customHeight="1">
      <c r="D3399" s="163"/>
      <c r="E3399" s="163"/>
      <c r="F3399" s="163"/>
      <c r="G3399" s="163"/>
      <c r="H3399" s="163"/>
    </row>
    <row r="3400" spans="4:8" ht="11.25" customHeight="1">
      <c r="D3400" s="163"/>
      <c r="E3400" s="163"/>
      <c r="F3400" s="163"/>
      <c r="G3400" s="163"/>
      <c r="H3400" s="163"/>
    </row>
    <row r="3401" spans="4:8" ht="11.25" customHeight="1">
      <c r="D3401" s="163"/>
      <c r="E3401" s="163"/>
      <c r="F3401" s="163"/>
      <c r="G3401" s="163"/>
      <c r="H3401" s="163"/>
    </row>
    <row r="3402" spans="4:8" ht="11.25" customHeight="1">
      <c r="D3402" s="163"/>
      <c r="E3402" s="163"/>
      <c r="F3402" s="163"/>
      <c r="G3402" s="163"/>
      <c r="H3402" s="163"/>
    </row>
    <row r="3403" spans="4:8" ht="11.25" customHeight="1">
      <c r="D3403" s="163"/>
      <c r="E3403" s="163"/>
      <c r="F3403" s="163"/>
      <c r="G3403" s="163"/>
      <c r="H3403" s="163"/>
    </row>
    <row r="3404" spans="4:8" ht="11.25" customHeight="1">
      <c r="D3404" s="163"/>
      <c r="E3404" s="163"/>
      <c r="F3404" s="163"/>
      <c r="G3404" s="163"/>
      <c r="H3404" s="163"/>
    </row>
    <row r="3405" spans="4:8" ht="11.25" customHeight="1">
      <c r="D3405" s="163"/>
      <c r="E3405" s="163"/>
      <c r="F3405" s="163"/>
      <c r="G3405" s="163"/>
      <c r="H3405" s="163"/>
    </row>
    <row r="3406" spans="4:8" ht="11.25" customHeight="1">
      <c r="D3406" s="163"/>
      <c r="E3406" s="163"/>
      <c r="F3406" s="163"/>
      <c r="G3406" s="163"/>
      <c r="H3406" s="163"/>
    </row>
    <row r="3407" spans="4:8" ht="11.25" customHeight="1">
      <c r="D3407" s="163"/>
      <c r="E3407" s="163"/>
      <c r="F3407" s="163"/>
      <c r="G3407" s="163"/>
      <c r="H3407" s="163"/>
    </row>
    <row r="3408" spans="4:8" ht="11.25" customHeight="1">
      <c r="D3408" s="163"/>
      <c r="E3408" s="163"/>
      <c r="F3408" s="163"/>
      <c r="G3408" s="163"/>
      <c r="H3408" s="163"/>
    </row>
    <row r="3409" spans="4:8" ht="11.25" customHeight="1">
      <c r="D3409" s="163"/>
      <c r="E3409" s="163"/>
      <c r="F3409" s="163"/>
      <c r="G3409" s="163"/>
      <c r="H3409" s="163"/>
    </row>
    <row r="3410" spans="4:8" ht="11.25" customHeight="1">
      <c r="D3410" s="163"/>
      <c r="E3410" s="163"/>
      <c r="F3410" s="163"/>
      <c r="G3410" s="163"/>
      <c r="H3410" s="163"/>
    </row>
    <row r="3411" spans="4:8" ht="11.25" customHeight="1">
      <c r="D3411" s="163"/>
      <c r="E3411" s="163"/>
      <c r="F3411" s="163"/>
      <c r="G3411" s="163"/>
      <c r="H3411" s="163"/>
    </row>
    <row r="3412" spans="4:8" ht="11.25" customHeight="1">
      <c r="D3412" s="163"/>
      <c r="E3412" s="163"/>
      <c r="F3412" s="163"/>
      <c r="G3412" s="163"/>
      <c r="H3412" s="163"/>
    </row>
    <row r="3413" spans="4:8" ht="11.25" customHeight="1">
      <c r="D3413" s="163"/>
      <c r="E3413" s="163"/>
      <c r="F3413" s="163"/>
      <c r="G3413" s="163"/>
      <c r="H3413" s="163"/>
    </row>
    <row r="3414" spans="4:8" ht="11.25" customHeight="1">
      <c r="D3414" s="163"/>
      <c r="E3414" s="163"/>
      <c r="F3414" s="163"/>
      <c r="G3414" s="163"/>
      <c r="H3414" s="163"/>
    </row>
    <row r="3415" spans="4:8" ht="11.25" customHeight="1">
      <c r="D3415" s="163"/>
      <c r="E3415" s="163"/>
      <c r="F3415" s="163"/>
      <c r="G3415" s="163"/>
      <c r="H3415" s="163"/>
    </row>
    <row r="3416" spans="4:8" ht="11.25" customHeight="1">
      <c r="D3416" s="163"/>
      <c r="E3416" s="163"/>
      <c r="F3416" s="163"/>
      <c r="G3416" s="163"/>
      <c r="H3416" s="163"/>
    </row>
    <row r="3417" spans="4:8" ht="11.25" customHeight="1">
      <c r="D3417" s="163"/>
      <c r="E3417" s="163"/>
      <c r="F3417" s="163"/>
      <c r="G3417" s="163"/>
      <c r="H3417" s="163"/>
    </row>
    <row r="3418" spans="4:8" ht="11.25" customHeight="1">
      <c r="D3418" s="163"/>
      <c r="E3418" s="163"/>
      <c r="F3418" s="163"/>
      <c r="G3418" s="163"/>
      <c r="H3418" s="163"/>
    </row>
    <row r="3419" spans="4:8" ht="11.25" customHeight="1">
      <c r="D3419" s="163"/>
      <c r="E3419" s="163"/>
      <c r="F3419" s="163"/>
      <c r="G3419" s="163"/>
      <c r="H3419" s="163"/>
    </row>
    <row r="3420" spans="4:8" ht="11.25" customHeight="1">
      <c r="D3420" s="163"/>
      <c r="E3420" s="163"/>
      <c r="F3420" s="163"/>
      <c r="G3420" s="163"/>
      <c r="H3420" s="163"/>
    </row>
    <row r="3421" spans="4:8" ht="11.25" customHeight="1">
      <c r="D3421" s="163"/>
      <c r="E3421" s="163"/>
      <c r="F3421" s="163"/>
      <c r="G3421" s="163"/>
      <c r="H3421" s="163"/>
    </row>
    <row r="3422" spans="4:8" ht="11.25" customHeight="1">
      <c r="D3422" s="163"/>
      <c r="E3422" s="163"/>
      <c r="F3422" s="163"/>
      <c r="G3422" s="163"/>
      <c r="H3422" s="163"/>
    </row>
    <row r="3423" spans="4:8" ht="11.25" customHeight="1">
      <c r="D3423" s="163"/>
      <c r="E3423" s="163"/>
      <c r="F3423" s="163"/>
      <c r="G3423" s="163"/>
      <c r="H3423" s="163"/>
    </row>
    <row r="3424" spans="4:8" ht="11.25" customHeight="1">
      <c r="D3424" s="163"/>
      <c r="E3424" s="163"/>
      <c r="F3424" s="163"/>
      <c r="G3424" s="163"/>
      <c r="H3424" s="163"/>
    </row>
    <row r="3425" spans="4:8" ht="11.25" customHeight="1">
      <c r="D3425" s="163"/>
      <c r="E3425" s="163"/>
      <c r="F3425" s="163"/>
      <c r="G3425" s="163"/>
      <c r="H3425" s="163"/>
    </row>
    <row r="3426" spans="4:8" ht="11.25" customHeight="1">
      <c r="D3426" s="163"/>
      <c r="E3426" s="163"/>
      <c r="F3426" s="163"/>
      <c r="G3426" s="163"/>
      <c r="H3426" s="163"/>
    </row>
    <row r="3427" spans="4:8" ht="11.25" customHeight="1">
      <c r="D3427" s="163"/>
      <c r="E3427" s="163"/>
      <c r="F3427" s="163"/>
      <c r="G3427" s="163"/>
      <c r="H3427" s="163"/>
    </row>
    <row r="3428" spans="4:8" ht="11.25" customHeight="1">
      <c r="D3428" s="163"/>
      <c r="E3428" s="163"/>
      <c r="F3428" s="163"/>
      <c r="G3428" s="163"/>
      <c r="H3428" s="163"/>
    </row>
    <row r="3429" spans="4:8" ht="11.25" customHeight="1">
      <c r="D3429" s="163"/>
      <c r="E3429" s="163"/>
      <c r="F3429" s="163"/>
      <c r="G3429" s="163"/>
      <c r="H3429" s="163"/>
    </row>
    <row r="3430" spans="4:8" ht="11.25" customHeight="1">
      <c r="D3430" s="163"/>
      <c r="E3430" s="163"/>
      <c r="F3430" s="163"/>
      <c r="G3430" s="163"/>
      <c r="H3430" s="163"/>
    </row>
    <row r="3431" spans="4:8" ht="11.25" customHeight="1">
      <c r="D3431" s="163"/>
      <c r="E3431" s="163"/>
      <c r="F3431" s="163"/>
      <c r="G3431" s="163"/>
      <c r="H3431" s="163"/>
    </row>
    <row r="3432" spans="4:8" ht="11.25" customHeight="1">
      <c r="D3432" s="163"/>
      <c r="E3432" s="163"/>
      <c r="F3432" s="163"/>
      <c r="G3432" s="163"/>
      <c r="H3432" s="163"/>
    </row>
    <row r="3433" spans="4:8" ht="11.25" customHeight="1">
      <c r="D3433" s="163"/>
      <c r="E3433" s="163"/>
      <c r="F3433" s="163"/>
      <c r="G3433" s="163"/>
      <c r="H3433" s="163"/>
    </row>
    <row r="3434" spans="4:8" ht="11.25" customHeight="1">
      <c r="D3434" s="163"/>
      <c r="E3434" s="163"/>
      <c r="F3434" s="163"/>
      <c r="G3434" s="163"/>
      <c r="H3434" s="163"/>
    </row>
    <row r="3435" spans="4:8" ht="11.25" customHeight="1">
      <c r="D3435" s="163"/>
      <c r="E3435" s="163"/>
      <c r="F3435" s="163"/>
      <c r="G3435" s="163"/>
      <c r="H3435" s="163"/>
    </row>
    <row r="3436" spans="4:8" ht="11.25" customHeight="1">
      <c r="D3436" s="163"/>
      <c r="E3436" s="163"/>
      <c r="F3436" s="163"/>
      <c r="G3436" s="163"/>
      <c r="H3436" s="163"/>
    </row>
    <row r="3437" spans="4:8" ht="11.25" customHeight="1">
      <c r="D3437" s="163"/>
      <c r="E3437" s="163"/>
      <c r="F3437" s="163"/>
      <c r="G3437" s="163"/>
      <c r="H3437" s="163"/>
    </row>
    <row r="3438" spans="4:8" ht="11.25" customHeight="1">
      <c r="D3438" s="163"/>
      <c r="E3438" s="163"/>
      <c r="F3438" s="163"/>
      <c r="G3438" s="163"/>
      <c r="H3438" s="163"/>
    </row>
    <row r="3439" spans="4:8" ht="11.25" customHeight="1">
      <c r="D3439" s="163"/>
      <c r="E3439" s="163"/>
      <c r="F3439" s="163"/>
      <c r="G3439" s="163"/>
      <c r="H3439" s="163"/>
    </row>
    <row r="3440" spans="4:8" ht="11.25" customHeight="1">
      <c r="D3440" s="163"/>
      <c r="E3440" s="163"/>
      <c r="F3440" s="163"/>
      <c r="G3440" s="163"/>
      <c r="H3440" s="163"/>
    </row>
    <row r="3441" spans="4:8" ht="11.25" customHeight="1">
      <c r="D3441" s="163"/>
      <c r="E3441" s="163"/>
      <c r="F3441" s="163"/>
      <c r="G3441" s="163"/>
      <c r="H3441" s="163"/>
    </row>
    <row r="3442" spans="4:8" ht="11.25" customHeight="1">
      <c r="D3442" s="163"/>
      <c r="E3442" s="163"/>
      <c r="F3442" s="163"/>
      <c r="G3442" s="163"/>
      <c r="H3442" s="163"/>
    </row>
    <row r="3443" spans="4:8" ht="11.25" customHeight="1">
      <c r="D3443" s="163"/>
      <c r="E3443" s="163"/>
      <c r="F3443" s="163"/>
      <c r="G3443" s="163"/>
      <c r="H3443" s="163"/>
    </row>
    <row r="3444" spans="4:8" ht="11.25" customHeight="1">
      <c r="D3444" s="163"/>
      <c r="E3444" s="163"/>
      <c r="F3444" s="163"/>
      <c r="G3444" s="163"/>
      <c r="H3444" s="163"/>
    </row>
    <row r="3445" spans="4:8" ht="11.25" customHeight="1">
      <c r="D3445" s="163"/>
      <c r="E3445" s="163"/>
      <c r="F3445" s="163"/>
      <c r="G3445" s="163"/>
      <c r="H3445" s="163"/>
    </row>
    <row r="3446" spans="4:8" ht="11.25" customHeight="1">
      <c r="D3446" s="163"/>
      <c r="E3446" s="163"/>
      <c r="F3446" s="163"/>
      <c r="G3446" s="163"/>
      <c r="H3446" s="163"/>
    </row>
    <row r="3447" spans="4:8" ht="11.25" customHeight="1">
      <c r="D3447" s="163"/>
      <c r="E3447" s="163"/>
      <c r="F3447" s="163"/>
      <c r="G3447" s="163"/>
      <c r="H3447" s="163"/>
    </row>
    <row r="3448" spans="4:8" ht="11.25" customHeight="1">
      <c r="D3448" s="163"/>
      <c r="E3448" s="163"/>
      <c r="F3448" s="163"/>
      <c r="G3448" s="163"/>
      <c r="H3448" s="163"/>
    </row>
    <row r="3449" spans="4:8" ht="11.25" customHeight="1">
      <c r="D3449" s="163"/>
      <c r="E3449" s="163"/>
      <c r="F3449" s="163"/>
      <c r="G3449" s="163"/>
      <c r="H3449" s="163"/>
    </row>
    <row r="3450" spans="4:8" ht="11.25" customHeight="1">
      <c r="D3450" s="163"/>
      <c r="E3450" s="163"/>
      <c r="F3450" s="163"/>
      <c r="G3450" s="163"/>
      <c r="H3450" s="163"/>
    </row>
    <row r="3451" spans="4:8" ht="11.25" customHeight="1">
      <c r="D3451" s="163"/>
      <c r="E3451" s="163"/>
      <c r="F3451" s="163"/>
      <c r="G3451" s="163"/>
      <c r="H3451" s="163"/>
    </row>
    <row r="3452" spans="4:8" ht="11.25" customHeight="1">
      <c r="D3452" s="163"/>
      <c r="E3452" s="163"/>
      <c r="F3452" s="163"/>
      <c r="G3452" s="163"/>
      <c r="H3452" s="163"/>
    </row>
    <row r="3453" spans="4:8" ht="11.25" customHeight="1">
      <c r="D3453" s="163"/>
      <c r="E3453" s="163"/>
      <c r="F3453" s="163"/>
      <c r="G3453" s="163"/>
      <c r="H3453" s="163"/>
    </row>
    <row r="3454" spans="4:8" ht="11.25" customHeight="1">
      <c r="D3454" s="163"/>
      <c r="E3454" s="163"/>
      <c r="F3454" s="163"/>
      <c r="G3454" s="163"/>
      <c r="H3454" s="163"/>
    </row>
    <row r="3455" spans="4:8" ht="11.25" customHeight="1">
      <c r="D3455" s="163"/>
      <c r="E3455" s="163"/>
      <c r="F3455" s="163"/>
      <c r="G3455" s="163"/>
      <c r="H3455" s="163"/>
    </row>
    <row r="3456" spans="4:8" ht="11.25" customHeight="1">
      <c r="D3456" s="163"/>
      <c r="E3456" s="163"/>
      <c r="F3456" s="163"/>
      <c r="G3456" s="163"/>
      <c r="H3456" s="163"/>
    </row>
    <row r="3457" spans="4:8" ht="11.25" customHeight="1">
      <c r="D3457" s="163"/>
      <c r="E3457" s="163"/>
      <c r="F3457" s="163"/>
      <c r="G3457" s="163"/>
      <c r="H3457" s="163"/>
    </row>
    <row r="3458" spans="4:8" ht="11.25" customHeight="1">
      <c r="D3458" s="163"/>
      <c r="E3458" s="163"/>
      <c r="F3458" s="163"/>
      <c r="G3458" s="163"/>
      <c r="H3458" s="163"/>
    </row>
    <row r="3459" spans="4:8" ht="11.25" customHeight="1">
      <c r="D3459" s="163"/>
      <c r="E3459" s="163"/>
      <c r="F3459" s="163"/>
      <c r="G3459" s="163"/>
      <c r="H3459" s="163"/>
    </row>
    <row r="3460" spans="4:8" ht="11.25" customHeight="1">
      <c r="D3460" s="163"/>
      <c r="E3460" s="163"/>
      <c r="F3460" s="163"/>
      <c r="G3460" s="163"/>
      <c r="H3460" s="163"/>
    </row>
    <row r="3461" spans="4:8" ht="11.25" customHeight="1">
      <c r="D3461" s="163"/>
      <c r="E3461" s="163"/>
      <c r="F3461" s="163"/>
      <c r="G3461" s="163"/>
      <c r="H3461" s="163"/>
    </row>
    <row r="3462" spans="4:8" ht="11.25" customHeight="1">
      <c r="D3462" s="163"/>
      <c r="E3462" s="163"/>
      <c r="F3462" s="163"/>
      <c r="G3462" s="163"/>
      <c r="H3462" s="163"/>
    </row>
    <row r="3463" spans="4:8" ht="11.25" customHeight="1">
      <c r="D3463" s="163"/>
      <c r="E3463" s="163"/>
      <c r="F3463" s="163"/>
      <c r="G3463" s="163"/>
      <c r="H3463" s="163"/>
    </row>
    <row r="3464" spans="4:8" ht="11.25" customHeight="1">
      <c r="D3464" s="163"/>
      <c r="E3464" s="163"/>
      <c r="F3464" s="163"/>
      <c r="G3464" s="163"/>
      <c r="H3464" s="163"/>
    </row>
    <row r="3465" spans="4:8" ht="11.25" customHeight="1">
      <c r="D3465" s="163"/>
      <c r="E3465" s="163"/>
      <c r="F3465" s="163"/>
      <c r="G3465" s="163"/>
      <c r="H3465" s="163"/>
    </row>
    <row r="3466" spans="4:8" ht="11.25" customHeight="1">
      <c r="D3466" s="163"/>
      <c r="E3466" s="163"/>
      <c r="F3466" s="163"/>
      <c r="G3466" s="163"/>
      <c r="H3466" s="163"/>
    </row>
    <row r="3467" spans="4:8" ht="11.25" customHeight="1">
      <c r="D3467" s="163"/>
      <c r="E3467" s="163"/>
      <c r="F3467" s="163"/>
      <c r="G3467" s="163"/>
      <c r="H3467" s="163"/>
    </row>
    <row r="3468" spans="4:8" ht="11.25" customHeight="1">
      <c r="D3468" s="163"/>
      <c r="E3468" s="163"/>
      <c r="F3468" s="163"/>
      <c r="G3468" s="163"/>
      <c r="H3468" s="163"/>
    </row>
    <row r="3469" spans="4:8" ht="11.25" customHeight="1">
      <c r="D3469" s="163"/>
      <c r="E3469" s="163"/>
      <c r="F3469" s="163"/>
      <c r="G3469" s="163"/>
      <c r="H3469" s="163"/>
    </row>
    <row r="3470" spans="4:8" ht="11.25" customHeight="1">
      <c r="D3470" s="163"/>
      <c r="E3470" s="163"/>
      <c r="F3470" s="163"/>
      <c r="G3470" s="163"/>
      <c r="H3470" s="163"/>
    </row>
    <row r="3471" spans="4:8" ht="11.25" customHeight="1">
      <c r="D3471" s="163"/>
      <c r="E3471" s="163"/>
      <c r="F3471" s="163"/>
      <c r="G3471" s="163"/>
      <c r="H3471" s="163"/>
    </row>
    <row r="3472" spans="4:8" ht="11.25" customHeight="1">
      <c r="D3472" s="163"/>
      <c r="E3472" s="163"/>
      <c r="F3472" s="163"/>
      <c r="G3472" s="163"/>
      <c r="H3472" s="163"/>
    </row>
    <row r="3473" spans="4:8" ht="11.25" customHeight="1">
      <c r="D3473" s="163"/>
      <c r="E3473" s="163"/>
      <c r="F3473" s="163"/>
      <c r="G3473" s="163"/>
      <c r="H3473" s="163"/>
    </row>
    <row r="3474" spans="4:8" ht="11.25" customHeight="1">
      <c r="D3474" s="163"/>
      <c r="E3474" s="163"/>
      <c r="F3474" s="163"/>
      <c r="G3474" s="163"/>
      <c r="H3474" s="163"/>
    </row>
    <row r="3475" spans="4:8" ht="11.25" customHeight="1">
      <c r="D3475" s="163"/>
      <c r="E3475" s="163"/>
      <c r="F3475" s="163"/>
      <c r="G3475" s="163"/>
      <c r="H3475" s="163"/>
    </row>
    <row r="3476" spans="4:8" ht="11.25" customHeight="1">
      <c r="D3476" s="163"/>
      <c r="E3476" s="163"/>
      <c r="F3476" s="163"/>
      <c r="G3476" s="163"/>
      <c r="H3476" s="163"/>
    </row>
    <row r="3477" spans="4:8" ht="11.25" customHeight="1">
      <c r="D3477" s="163"/>
      <c r="E3477" s="163"/>
      <c r="F3477" s="163"/>
      <c r="G3477" s="163"/>
      <c r="H3477" s="163"/>
    </row>
    <row r="3478" spans="4:8" ht="11.25" customHeight="1">
      <c r="D3478" s="163"/>
      <c r="E3478" s="163"/>
      <c r="F3478" s="163"/>
      <c r="G3478" s="163"/>
      <c r="H3478" s="163"/>
    </row>
    <row r="3479" spans="4:8" ht="11.25" customHeight="1">
      <c r="D3479" s="163"/>
      <c r="E3479" s="163"/>
      <c r="F3479" s="163"/>
      <c r="G3479" s="163"/>
      <c r="H3479" s="163"/>
    </row>
    <row r="3480" spans="4:8" ht="11.25" customHeight="1">
      <c r="D3480" s="163"/>
      <c r="E3480" s="163"/>
      <c r="F3480" s="163"/>
      <c r="G3480" s="163"/>
      <c r="H3480" s="163"/>
    </row>
    <row r="3481" spans="4:8" ht="11.25" customHeight="1">
      <c r="D3481" s="163"/>
      <c r="E3481" s="163"/>
      <c r="F3481" s="163"/>
      <c r="G3481" s="163"/>
      <c r="H3481" s="163"/>
    </row>
    <row r="3482" spans="4:8" ht="11.25" customHeight="1">
      <c r="D3482" s="163"/>
      <c r="E3482" s="163"/>
      <c r="F3482" s="163"/>
      <c r="G3482" s="163"/>
      <c r="H3482" s="163"/>
    </row>
    <row r="3483" spans="4:8" ht="11.25" customHeight="1">
      <c r="D3483" s="163"/>
      <c r="E3483" s="163"/>
      <c r="F3483" s="163"/>
      <c r="G3483" s="163"/>
      <c r="H3483" s="163"/>
    </row>
    <row r="3484" spans="4:8" ht="11.25" customHeight="1">
      <c r="D3484" s="163"/>
      <c r="E3484" s="163"/>
      <c r="F3484" s="163"/>
      <c r="G3484" s="163"/>
      <c r="H3484" s="163"/>
    </row>
    <row r="3485" spans="4:8" ht="11.25" customHeight="1">
      <c r="D3485" s="163"/>
      <c r="E3485" s="163"/>
      <c r="F3485" s="163"/>
      <c r="G3485" s="163"/>
      <c r="H3485" s="163"/>
    </row>
    <row r="3486" spans="4:8" ht="11.25" customHeight="1">
      <c r="D3486" s="163"/>
      <c r="E3486" s="163"/>
      <c r="F3486" s="163"/>
      <c r="G3486" s="163"/>
      <c r="H3486" s="163"/>
    </row>
    <row r="3487" spans="4:8" ht="11.25" customHeight="1">
      <c r="D3487" s="163"/>
      <c r="E3487" s="163"/>
      <c r="F3487" s="163"/>
      <c r="G3487" s="163"/>
      <c r="H3487" s="163"/>
    </row>
    <row r="3488" spans="4:8" ht="11.25" customHeight="1">
      <c r="D3488" s="163"/>
      <c r="E3488" s="163"/>
      <c r="F3488" s="163"/>
      <c r="G3488" s="163"/>
      <c r="H3488" s="163"/>
    </row>
    <row r="3489" spans="4:8" ht="11.25" customHeight="1">
      <c r="D3489" s="163"/>
      <c r="E3489" s="163"/>
      <c r="F3489" s="163"/>
      <c r="G3489" s="163"/>
      <c r="H3489" s="163"/>
    </row>
    <row r="3490" spans="4:8" ht="11.25" customHeight="1">
      <c r="D3490" s="163"/>
      <c r="E3490" s="163"/>
      <c r="F3490" s="163"/>
      <c r="G3490" s="163"/>
      <c r="H3490" s="163"/>
    </row>
    <row r="3491" spans="4:8" ht="11.25" customHeight="1">
      <c r="D3491" s="163"/>
      <c r="E3491" s="163"/>
      <c r="F3491" s="163"/>
      <c r="G3491" s="163"/>
      <c r="H3491" s="163"/>
    </row>
    <row r="3492" spans="4:8" ht="11.25" customHeight="1">
      <c r="D3492" s="163"/>
      <c r="E3492" s="163"/>
      <c r="F3492" s="163"/>
      <c r="G3492" s="163"/>
      <c r="H3492" s="163"/>
    </row>
    <row r="3493" spans="4:8" ht="11.25" customHeight="1">
      <c r="D3493" s="163"/>
      <c r="E3493" s="163"/>
      <c r="F3493" s="163"/>
      <c r="G3493" s="163"/>
      <c r="H3493" s="163"/>
    </row>
    <row r="3494" spans="4:8" ht="11.25" customHeight="1">
      <c r="D3494" s="163"/>
      <c r="E3494" s="163"/>
      <c r="F3494" s="163"/>
      <c r="G3494" s="163"/>
      <c r="H3494" s="163"/>
    </row>
    <row r="3495" spans="4:8" ht="11.25" customHeight="1">
      <c r="D3495" s="163"/>
      <c r="E3495" s="163"/>
      <c r="F3495" s="163"/>
      <c r="G3495" s="163"/>
      <c r="H3495" s="163"/>
    </row>
    <row r="3496" spans="4:8" ht="11.25" customHeight="1">
      <c r="D3496" s="163"/>
      <c r="E3496" s="163"/>
      <c r="F3496" s="163"/>
      <c r="G3496" s="163"/>
      <c r="H3496" s="163"/>
    </row>
    <row r="3497" spans="4:8" ht="11.25" customHeight="1">
      <c r="D3497" s="163"/>
      <c r="E3497" s="163"/>
      <c r="F3497" s="163"/>
      <c r="G3497" s="163"/>
      <c r="H3497" s="163"/>
    </row>
    <row r="3498" spans="4:8" ht="11.25" customHeight="1">
      <c r="D3498" s="163"/>
      <c r="E3498" s="163"/>
      <c r="F3498" s="163"/>
      <c r="G3498" s="163"/>
      <c r="H3498" s="163"/>
    </row>
    <row r="3499" spans="4:8" ht="11.25" customHeight="1">
      <c r="D3499" s="163"/>
      <c r="E3499" s="163"/>
      <c r="F3499" s="163"/>
      <c r="G3499" s="163"/>
      <c r="H3499" s="163"/>
    </row>
    <row r="3500" spans="4:8" ht="11.25" customHeight="1">
      <c r="D3500" s="163"/>
      <c r="E3500" s="163"/>
      <c r="F3500" s="163"/>
      <c r="G3500" s="163"/>
      <c r="H3500" s="163"/>
    </row>
    <row r="3501" spans="4:8" ht="11.25" customHeight="1">
      <c r="D3501" s="163"/>
      <c r="E3501" s="163"/>
      <c r="F3501" s="163"/>
      <c r="G3501" s="163"/>
      <c r="H3501" s="163"/>
    </row>
    <row r="3502" spans="4:8" ht="11.25" customHeight="1">
      <c r="D3502" s="163"/>
      <c r="E3502" s="163"/>
      <c r="F3502" s="163"/>
      <c r="G3502" s="163"/>
      <c r="H3502" s="163"/>
    </row>
    <row r="3503" spans="4:8" ht="11.25" customHeight="1">
      <c r="D3503" s="163"/>
      <c r="E3503" s="163"/>
      <c r="F3503" s="163"/>
      <c r="G3503" s="163"/>
      <c r="H3503" s="163"/>
    </row>
    <row r="3504" spans="4:8" ht="11.25" customHeight="1">
      <c r="D3504" s="163"/>
      <c r="E3504" s="163"/>
      <c r="F3504" s="163"/>
      <c r="G3504" s="163"/>
      <c r="H3504" s="163"/>
    </row>
    <row r="3505" spans="4:8" ht="11.25" customHeight="1">
      <c r="D3505" s="163"/>
      <c r="E3505" s="163"/>
      <c r="F3505" s="163"/>
      <c r="G3505" s="163"/>
      <c r="H3505" s="163"/>
    </row>
    <row r="3506" spans="4:8" ht="11.25" customHeight="1">
      <c r="D3506" s="163"/>
      <c r="E3506" s="163"/>
      <c r="F3506" s="163"/>
      <c r="G3506" s="163"/>
      <c r="H3506" s="163"/>
    </row>
    <row r="3507" spans="4:8" ht="11.25" customHeight="1">
      <c r="D3507" s="163"/>
      <c r="E3507" s="163"/>
      <c r="F3507" s="163"/>
      <c r="G3507" s="163"/>
      <c r="H3507" s="163"/>
    </row>
    <row r="3508" spans="4:8" ht="11.25" customHeight="1">
      <c r="D3508" s="163"/>
      <c r="E3508" s="163"/>
      <c r="F3508" s="163"/>
      <c r="G3508" s="163"/>
      <c r="H3508" s="163"/>
    </row>
    <row r="3509" spans="4:8" ht="11.25" customHeight="1">
      <c r="D3509" s="163"/>
      <c r="E3509" s="163"/>
      <c r="F3509" s="163"/>
      <c r="G3509" s="163"/>
      <c r="H3509" s="163"/>
    </row>
    <row r="3510" spans="4:8" ht="11.25" customHeight="1">
      <c r="D3510" s="163"/>
      <c r="E3510" s="163"/>
      <c r="F3510" s="163"/>
      <c r="G3510" s="163"/>
      <c r="H3510" s="163"/>
    </row>
    <row r="3511" spans="4:8" ht="11.25" customHeight="1">
      <c r="D3511" s="163"/>
      <c r="E3511" s="163"/>
      <c r="F3511" s="163"/>
      <c r="G3511" s="163"/>
      <c r="H3511" s="163"/>
    </row>
    <row r="3512" spans="4:8" ht="11.25" customHeight="1">
      <c r="D3512" s="163"/>
      <c r="E3512" s="163"/>
      <c r="F3512" s="163"/>
      <c r="G3512" s="163"/>
      <c r="H3512" s="163"/>
    </row>
    <row r="3513" spans="4:8" ht="11.25" customHeight="1">
      <c r="D3513" s="163"/>
      <c r="E3513" s="163"/>
      <c r="F3513" s="163"/>
      <c r="G3513" s="163"/>
      <c r="H3513" s="163"/>
    </row>
    <row r="3514" spans="4:8" ht="11.25" customHeight="1">
      <c r="D3514" s="163"/>
      <c r="E3514" s="163"/>
      <c r="F3514" s="163"/>
      <c r="G3514" s="163"/>
      <c r="H3514" s="163"/>
    </row>
    <row r="3515" spans="4:8" ht="11.25" customHeight="1">
      <c r="D3515" s="163"/>
      <c r="E3515" s="163"/>
      <c r="F3515" s="163"/>
      <c r="G3515" s="163"/>
      <c r="H3515" s="163"/>
    </row>
    <row r="3516" spans="4:8" ht="11.25" customHeight="1">
      <c r="D3516" s="163"/>
      <c r="E3516" s="163"/>
      <c r="F3516" s="163"/>
      <c r="G3516" s="163"/>
      <c r="H3516" s="163"/>
    </row>
    <row r="3517" spans="4:8" ht="11.25" customHeight="1">
      <c r="D3517" s="163"/>
      <c r="E3517" s="163"/>
      <c r="F3517" s="163"/>
      <c r="G3517" s="163"/>
      <c r="H3517" s="163"/>
    </row>
    <row r="3518" spans="4:8" ht="11.25" customHeight="1">
      <c r="D3518" s="163"/>
      <c r="E3518" s="163"/>
      <c r="F3518" s="163"/>
      <c r="G3518" s="163"/>
      <c r="H3518" s="163"/>
    </row>
    <row r="3519" spans="4:8" ht="11.25" customHeight="1">
      <c r="D3519" s="163"/>
      <c r="E3519" s="163"/>
      <c r="F3519" s="163"/>
      <c r="G3519" s="163"/>
      <c r="H3519" s="163"/>
    </row>
    <row r="3520" spans="4:8" ht="11.25" customHeight="1">
      <c r="D3520" s="163"/>
      <c r="E3520" s="163"/>
      <c r="F3520" s="163"/>
      <c r="G3520" s="163"/>
      <c r="H3520" s="163"/>
    </row>
    <row r="3521" spans="4:8" ht="11.25" customHeight="1">
      <c r="D3521" s="163"/>
      <c r="E3521" s="163"/>
      <c r="F3521" s="163"/>
      <c r="G3521" s="163"/>
      <c r="H3521" s="163"/>
    </row>
    <row r="3522" spans="4:8" ht="11.25" customHeight="1">
      <c r="D3522" s="163"/>
      <c r="E3522" s="163"/>
      <c r="F3522" s="163"/>
      <c r="G3522" s="163"/>
      <c r="H3522" s="163"/>
    </row>
    <row r="3523" spans="4:8" ht="11.25" customHeight="1">
      <c r="D3523" s="163"/>
      <c r="E3523" s="163"/>
      <c r="F3523" s="163"/>
      <c r="G3523" s="163"/>
      <c r="H3523" s="163"/>
    </row>
    <row r="3524" spans="4:8" ht="11.25" customHeight="1">
      <c r="D3524" s="163"/>
      <c r="E3524" s="163"/>
      <c r="F3524" s="163"/>
      <c r="G3524" s="163"/>
      <c r="H3524" s="163"/>
    </row>
    <row r="3525" spans="4:8" ht="11.25" customHeight="1">
      <c r="D3525" s="163"/>
      <c r="E3525" s="163"/>
      <c r="F3525" s="163"/>
      <c r="G3525" s="163"/>
      <c r="H3525" s="163"/>
    </row>
    <row r="3526" spans="4:8" ht="11.25" customHeight="1">
      <c r="D3526" s="163"/>
      <c r="E3526" s="163"/>
      <c r="F3526" s="163"/>
      <c r="G3526" s="163"/>
      <c r="H3526" s="163"/>
    </row>
    <row r="3527" spans="4:8" ht="11.25" customHeight="1">
      <c r="D3527" s="163"/>
      <c r="E3527" s="163"/>
      <c r="F3527" s="163"/>
      <c r="G3527" s="163"/>
      <c r="H3527" s="163"/>
    </row>
    <row r="3528" spans="4:8" ht="11.25" customHeight="1">
      <c r="D3528" s="163"/>
      <c r="E3528" s="163"/>
      <c r="F3528" s="163"/>
      <c r="G3528" s="163"/>
      <c r="H3528" s="163"/>
    </row>
    <row r="3529" spans="4:8" ht="11.25" customHeight="1">
      <c r="D3529" s="163"/>
      <c r="E3529" s="163"/>
      <c r="F3529" s="163"/>
      <c r="G3529" s="163"/>
      <c r="H3529" s="163"/>
    </row>
    <row r="3530" spans="4:8" ht="11.25" customHeight="1">
      <c r="D3530" s="163"/>
      <c r="E3530" s="163"/>
      <c r="F3530" s="163"/>
      <c r="G3530" s="163"/>
      <c r="H3530" s="163"/>
    </row>
    <row r="3531" spans="4:8" ht="11.25" customHeight="1">
      <c r="D3531" s="163"/>
      <c r="E3531" s="163"/>
      <c r="F3531" s="163"/>
      <c r="G3531" s="163"/>
      <c r="H3531" s="163"/>
    </row>
    <row r="3532" spans="4:8" ht="11.25" customHeight="1">
      <c r="D3532" s="163"/>
      <c r="E3532" s="163"/>
      <c r="F3532" s="163"/>
      <c r="G3532" s="163"/>
      <c r="H3532" s="163"/>
    </row>
    <row r="3533" spans="4:8" ht="11.25" customHeight="1">
      <c r="D3533" s="163"/>
      <c r="E3533" s="163"/>
      <c r="F3533" s="163"/>
      <c r="G3533" s="163"/>
      <c r="H3533" s="163"/>
    </row>
    <row r="3534" spans="4:8" ht="11.25" customHeight="1">
      <c r="D3534" s="163"/>
      <c r="E3534" s="163"/>
      <c r="F3534" s="163"/>
      <c r="G3534" s="163"/>
      <c r="H3534" s="163"/>
    </row>
    <row r="3535" spans="4:8" ht="11.25" customHeight="1">
      <c r="D3535" s="163"/>
      <c r="E3535" s="163"/>
      <c r="F3535" s="163"/>
      <c r="G3535" s="163"/>
      <c r="H3535" s="163"/>
    </row>
    <row r="3536" spans="4:8" ht="11.25" customHeight="1">
      <c r="D3536" s="163"/>
      <c r="E3536" s="163"/>
      <c r="F3536" s="163"/>
      <c r="G3536" s="163"/>
      <c r="H3536" s="163"/>
    </row>
    <row r="3537" spans="4:8" ht="11.25" customHeight="1">
      <c r="D3537" s="163"/>
      <c r="E3537" s="163"/>
      <c r="F3537" s="163"/>
      <c r="G3537" s="163"/>
      <c r="H3537" s="163"/>
    </row>
    <row r="3538" spans="4:8" ht="11.25" customHeight="1">
      <c r="D3538" s="163"/>
      <c r="E3538" s="163"/>
      <c r="F3538" s="163"/>
      <c r="G3538" s="163"/>
      <c r="H3538" s="163"/>
    </row>
    <row r="3539" spans="4:8" ht="11.25" customHeight="1">
      <c r="D3539" s="163"/>
      <c r="E3539" s="163"/>
      <c r="F3539" s="163"/>
      <c r="G3539" s="163"/>
      <c r="H3539" s="163"/>
    </row>
    <row r="3540" spans="4:8" ht="11.25" customHeight="1">
      <c r="D3540" s="163"/>
      <c r="E3540" s="163"/>
      <c r="F3540" s="163"/>
      <c r="G3540" s="163"/>
      <c r="H3540" s="163"/>
    </row>
    <row r="3541" spans="4:8" ht="11.25" customHeight="1">
      <c r="D3541" s="163"/>
      <c r="E3541" s="163"/>
      <c r="F3541" s="163"/>
      <c r="G3541" s="163"/>
      <c r="H3541" s="163"/>
    </row>
    <row r="3542" spans="4:8" ht="11.25" customHeight="1">
      <c r="D3542" s="163"/>
      <c r="E3542" s="163"/>
      <c r="F3542" s="163"/>
      <c r="G3542" s="163"/>
      <c r="H3542" s="163"/>
    </row>
    <row r="3543" spans="4:8" ht="11.25" customHeight="1">
      <c r="D3543" s="163"/>
      <c r="E3543" s="163"/>
      <c r="F3543" s="163"/>
      <c r="G3543" s="163"/>
      <c r="H3543" s="163"/>
    </row>
    <row r="3544" spans="4:8" ht="11.25" customHeight="1">
      <c r="D3544" s="163"/>
      <c r="E3544" s="163"/>
      <c r="F3544" s="163"/>
      <c r="G3544" s="163"/>
      <c r="H3544" s="163"/>
    </row>
    <row r="3545" spans="4:8" ht="11.25" customHeight="1">
      <c r="D3545" s="163"/>
      <c r="E3545" s="163"/>
      <c r="F3545" s="163"/>
      <c r="G3545" s="163"/>
      <c r="H3545" s="163"/>
    </row>
    <row r="3546" spans="4:8" ht="11.25" customHeight="1">
      <c r="D3546" s="163"/>
      <c r="E3546" s="163"/>
      <c r="F3546" s="163"/>
      <c r="G3546" s="163"/>
      <c r="H3546" s="163"/>
    </row>
    <row r="3547" spans="4:8" ht="11.25" customHeight="1">
      <c r="D3547" s="163"/>
      <c r="E3547" s="163"/>
      <c r="F3547" s="163"/>
      <c r="G3547" s="163"/>
      <c r="H3547" s="163"/>
    </row>
    <row r="3548" spans="4:8" ht="11.25" customHeight="1">
      <c r="D3548" s="163"/>
      <c r="E3548" s="163"/>
      <c r="F3548" s="163"/>
      <c r="G3548" s="163"/>
      <c r="H3548" s="163"/>
    </row>
    <row r="3549" spans="4:8" ht="11.25" customHeight="1">
      <c r="D3549" s="163"/>
      <c r="E3549" s="163"/>
      <c r="F3549" s="163"/>
      <c r="G3549" s="163"/>
      <c r="H3549" s="163"/>
    </row>
    <row r="3550" spans="4:8" ht="11.25" customHeight="1">
      <c r="D3550" s="163"/>
      <c r="E3550" s="163"/>
      <c r="F3550" s="163"/>
      <c r="G3550" s="163"/>
      <c r="H3550" s="163"/>
    </row>
    <row r="3551" spans="4:8" ht="11.25" customHeight="1">
      <c r="D3551" s="163"/>
      <c r="E3551" s="163"/>
      <c r="F3551" s="163"/>
      <c r="G3551" s="163"/>
      <c r="H3551" s="163"/>
    </row>
    <row r="3552" spans="4:8" ht="11.25" customHeight="1">
      <c r="D3552" s="163"/>
      <c r="E3552" s="163"/>
      <c r="F3552" s="163"/>
      <c r="G3552" s="163"/>
      <c r="H3552" s="163"/>
    </row>
    <row r="3553" spans="4:8" ht="11.25" customHeight="1">
      <c r="D3553" s="163"/>
      <c r="E3553" s="163"/>
      <c r="F3553" s="163"/>
      <c r="G3553" s="163"/>
      <c r="H3553" s="163"/>
    </row>
    <row r="3554" spans="4:8" ht="11.25" customHeight="1">
      <c r="D3554" s="163"/>
      <c r="E3554" s="163"/>
      <c r="F3554" s="163"/>
      <c r="G3554" s="163"/>
      <c r="H3554" s="163"/>
    </row>
    <row r="3555" spans="4:8" ht="11.25" customHeight="1">
      <c r="D3555" s="163"/>
      <c r="E3555" s="163"/>
      <c r="F3555" s="163"/>
      <c r="G3555" s="163"/>
      <c r="H3555" s="163"/>
    </row>
    <row r="3556" spans="4:8" ht="11.25" customHeight="1">
      <c r="D3556" s="163"/>
      <c r="E3556" s="163"/>
      <c r="F3556" s="163"/>
      <c r="G3556" s="163"/>
      <c r="H3556" s="163"/>
    </row>
    <row r="3557" spans="4:8" ht="11.25" customHeight="1">
      <c r="D3557" s="163"/>
      <c r="E3557" s="163"/>
      <c r="F3557" s="163"/>
      <c r="G3557" s="163"/>
      <c r="H3557" s="163"/>
    </row>
    <row r="3558" spans="4:8" ht="11.25" customHeight="1">
      <c r="D3558" s="163"/>
      <c r="E3558" s="163"/>
      <c r="F3558" s="163"/>
      <c r="G3558" s="163"/>
      <c r="H3558" s="163"/>
    </row>
    <row r="3559" spans="4:8" ht="11.25" customHeight="1">
      <c r="D3559" s="163"/>
      <c r="E3559" s="163"/>
      <c r="F3559" s="163"/>
      <c r="G3559" s="163"/>
      <c r="H3559" s="163"/>
    </row>
    <row r="3560" spans="4:8" ht="11.25" customHeight="1">
      <c r="D3560" s="163"/>
      <c r="E3560" s="163"/>
      <c r="F3560" s="163"/>
      <c r="G3560" s="163"/>
      <c r="H3560" s="163"/>
    </row>
    <row r="3561" spans="4:8" ht="11.25" customHeight="1">
      <c r="D3561" s="163"/>
      <c r="E3561" s="163"/>
      <c r="F3561" s="163"/>
      <c r="G3561" s="163"/>
      <c r="H3561" s="163"/>
    </row>
    <row r="3562" spans="4:8" ht="11.25" customHeight="1">
      <c r="D3562" s="163"/>
      <c r="E3562" s="163"/>
      <c r="F3562" s="163"/>
      <c r="G3562" s="163"/>
      <c r="H3562" s="163"/>
    </row>
    <row r="3563" spans="4:8" ht="11.25" customHeight="1">
      <c r="D3563" s="163"/>
      <c r="E3563" s="163"/>
      <c r="F3563" s="163"/>
      <c r="G3563" s="163"/>
      <c r="H3563" s="163"/>
    </row>
    <row r="3564" spans="4:8" ht="11.25" customHeight="1">
      <c r="D3564" s="163"/>
      <c r="E3564" s="163"/>
      <c r="F3564" s="163"/>
      <c r="G3564" s="163"/>
      <c r="H3564" s="163"/>
    </row>
    <row r="3565" spans="4:8" ht="11.25" customHeight="1">
      <c r="D3565" s="163"/>
      <c r="E3565" s="163"/>
      <c r="F3565" s="163"/>
      <c r="G3565" s="163"/>
      <c r="H3565" s="163"/>
    </row>
    <row r="3566" spans="4:8" ht="11.25" customHeight="1">
      <c r="D3566" s="163"/>
      <c r="E3566" s="163"/>
      <c r="F3566" s="163"/>
      <c r="G3566" s="163"/>
      <c r="H3566" s="163"/>
    </row>
    <row r="3567" spans="4:8" ht="11.25" customHeight="1">
      <c r="D3567" s="163"/>
      <c r="E3567" s="163"/>
      <c r="F3567" s="163"/>
      <c r="G3567" s="163"/>
      <c r="H3567" s="163"/>
    </row>
    <row r="3568" spans="4:8" ht="11.25" customHeight="1">
      <c r="D3568" s="163"/>
      <c r="E3568" s="163"/>
      <c r="F3568" s="163"/>
      <c r="G3568" s="163"/>
      <c r="H3568" s="163"/>
    </row>
    <row r="3569" spans="4:8" ht="11.25" customHeight="1">
      <c r="D3569" s="163"/>
      <c r="E3569" s="163"/>
      <c r="F3569" s="163"/>
      <c r="G3569" s="163"/>
      <c r="H3569" s="163"/>
    </row>
    <row r="3570" spans="4:8" ht="11.25" customHeight="1">
      <c r="D3570" s="163"/>
      <c r="E3570" s="163"/>
      <c r="F3570" s="163"/>
      <c r="G3570" s="163"/>
      <c r="H3570" s="163"/>
    </row>
    <row r="3571" spans="4:8" ht="11.25" customHeight="1">
      <c r="D3571" s="163"/>
      <c r="E3571" s="163"/>
      <c r="F3571" s="163"/>
      <c r="G3571" s="163"/>
      <c r="H3571" s="163"/>
    </row>
    <row r="3572" spans="4:8" ht="11.25" customHeight="1">
      <c r="D3572" s="163"/>
      <c r="E3572" s="163"/>
      <c r="F3572" s="163"/>
      <c r="G3572" s="163"/>
      <c r="H3572" s="163"/>
    </row>
    <row r="3573" spans="4:8" ht="11.25" customHeight="1">
      <c r="D3573" s="163"/>
      <c r="E3573" s="163"/>
      <c r="F3573" s="163"/>
      <c r="G3573" s="163"/>
      <c r="H3573" s="163"/>
    </row>
    <row r="3574" spans="4:8" ht="11.25" customHeight="1">
      <c r="D3574" s="163"/>
      <c r="E3574" s="163"/>
      <c r="F3574" s="163"/>
      <c r="G3574" s="163"/>
      <c r="H3574" s="163"/>
    </row>
    <row r="3575" spans="4:8" ht="11.25" customHeight="1">
      <c r="D3575" s="163"/>
      <c r="E3575" s="163"/>
      <c r="F3575" s="163"/>
      <c r="G3575" s="163"/>
      <c r="H3575" s="163"/>
    </row>
    <row r="3576" spans="4:8" ht="11.25" customHeight="1">
      <c r="D3576" s="163"/>
      <c r="E3576" s="163"/>
      <c r="F3576" s="163"/>
      <c r="G3576" s="163"/>
      <c r="H3576" s="163"/>
    </row>
    <row r="3577" spans="4:8" ht="11.25" customHeight="1">
      <c r="D3577" s="163"/>
      <c r="E3577" s="163"/>
      <c r="F3577" s="163"/>
      <c r="G3577" s="163"/>
      <c r="H3577" s="163"/>
    </row>
    <row r="3578" spans="4:8" ht="11.25" customHeight="1">
      <c r="D3578" s="163"/>
      <c r="E3578" s="163"/>
      <c r="F3578" s="163"/>
      <c r="G3578" s="163"/>
      <c r="H3578" s="163"/>
    </row>
    <row r="3579" spans="4:8" ht="11.25" customHeight="1">
      <c r="D3579" s="163"/>
      <c r="E3579" s="163"/>
      <c r="F3579" s="163"/>
      <c r="G3579" s="163"/>
      <c r="H3579" s="163"/>
    </row>
    <row r="3580" spans="4:8" ht="11.25" customHeight="1">
      <c r="D3580" s="163"/>
      <c r="E3580" s="163"/>
      <c r="F3580" s="163"/>
      <c r="G3580" s="163"/>
      <c r="H3580" s="163"/>
    </row>
    <row r="3581" spans="4:8" ht="11.25" customHeight="1">
      <c r="D3581" s="163"/>
      <c r="E3581" s="163"/>
      <c r="F3581" s="163"/>
      <c r="G3581" s="163"/>
      <c r="H3581" s="163"/>
    </row>
    <row r="3582" spans="4:8" ht="11.25" customHeight="1">
      <c r="D3582" s="163"/>
      <c r="E3582" s="163"/>
      <c r="F3582" s="163"/>
      <c r="G3582" s="163"/>
      <c r="H3582" s="163"/>
    </row>
    <row r="3583" spans="4:8" ht="11.25" customHeight="1">
      <c r="D3583" s="163"/>
      <c r="E3583" s="163"/>
      <c r="F3583" s="163"/>
      <c r="G3583" s="163"/>
      <c r="H3583" s="163"/>
    </row>
    <row r="3584" spans="4:8" ht="11.25" customHeight="1">
      <c r="D3584" s="163"/>
      <c r="E3584" s="163"/>
      <c r="F3584" s="163"/>
      <c r="G3584" s="163"/>
      <c r="H3584" s="163"/>
    </row>
    <row r="3585" spans="4:8" ht="11.25" customHeight="1">
      <c r="D3585" s="163"/>
      <c r="E3585" s="163"/>
      <c r="F3585" s="163"/>
      <c r="G3585" s="163"/>
      <c r="H3585" s="163"/>
    </row>
    <row r="3586" spans="4:8" ht="11.25" customHeight="1">
      <c r="D3586" s="163"/>
      <c r="E3586" s="163"/>
      <c r="F3586" s="163"/>
      <c r="G3586" s="163"/>
      <c r="H3586" s="163"/>
    </row>
    <row r="3587" spans="4:8" ht="11.25" customHeight="1">
      <c r="D3587" s="163"/>
      <c r="E3587" s="163"/>
      <c r="F3587" s="163"/>
      <c r="G3587" s="163"/>
      <c r="H3587" s="163"/>
    </row>
    <row r="3588" spans="4:8" ht="11.25" customHeight="1">
      <c r="D3588" s="163"/>
      <c r="E3588" s="163"/>
      <c r="F3588" s="163"/>
      <c r="G3588" s="163"/>
      <c r="H3588" s="163"/>
    </row>
    <row r="3589" spans="4:8" ht="11.25" customHeight="1">
      <c r="D3589" s="163"/>
      <c r="E3589" s="163"/>
      <c r="F3589" s="163"/>
      <c r="G3589" s="163"/>
      <c r="H3589" s="163"/>
    </row>
    <row r="3590" spans="4:8" ht="11.25" customHeight="1">
      <c r="D3590" s="163"/>
      <c r="E3590" s="163"/>
      <c r="F3590" s="163"/>
      <c r="G3590" s="163"/>
      <c r="H3590" s="163"/>
    </row>
    <row r="3591" spans="4:8" ht="11.25" customHeight="1">
      <c r="D3591" s="163"/>
      <c r="E3591" s="163"/>
      <c r="F3591" s="163"/>
      <c r="G3591" s="163"/>
      <c r="H3591" s="163"/>
    </row>
    <row r="3592" spans="4:8" ht="11.25" customHeight="1">
      <c r="D3592" s="163"/>
      <c r="E3592" s="163"/>
      <c r="F3592" s="163"/>
      <c r="G3592" s="163"/>
      <c r="H3592" s="163"/>
    </row>
    <row r="3593" spans="4:8" ht="11.25" customHeight="1">
      <c r="D3593" s="163"/>
      <c r="E3593" s="163"/>
      <c r="F3593" s="163"/>
      <c r="G3593" s="163"/>
      <c r="H3593" s="163"/>
    </row>
    <row r="3594" spans="4:8" ht="11.25" customHeight="1">
      <c r="D3594" s="163"/>
      <c r="E3594" s="163"/>
      <c r="F3594" s="163"/>
      <c r="G3594" s="163"/>
      <c r="H3594" s="163"/>
    </row>
    <row r="3595" spans="4:8" ht="11.25" customHeight="1">
      <c r="D3595" s="163"/>
      <c r="E3595" s="163"/>
      <c r="F3595" s="163"/>
      <c r="G3595" s="163"/>
      <c r="H3595" s="163"/>
    </row>
    <row r="3596" spans="4:8" ht="11.25" customHeight="1">
      <c r="D3596" s="163"/>
      <c r="E3596" s="163"/>
      <c r="F3596" s="163"/>
      <c r="G3596" s="163"/>
      <c r="H3596" s="163"/>
    </row>
    <row r="3597" spans="4:8" ht="11.25" customHeight="1">
      <c r="D3597" s="163"/>
      <c r="E3597" s="163"/>
      <c r="F3597" s="163"/>
      <c r="G3597" s="163"/>
      <c r="H3597" s="163"/>
    </row>
    <row r="3598" spans="4:8" ht="11.25" customHeight="1">
      <c r="D3598" s="163"/>
      <c r="E3598" s="163"/>
      <c r="F3598" s="163"/>
      <c r="G3598" s="163"/>
      <c r="H3598" s="163"/>
    </row>
    <row r="3599" spans="4:8" ht="11.25" customHeight="1">
      <c r="D3599" s="163"/>
      <c r="E3599" s="163"/>
      <c r="F3599" s="163"/>
      <c r="G3599" s="163"/>
      <c r="H3599" s="163"/>
    </row>
    <row r="3600" spans="4:8" ht="11.25" customHeight="1">
      <c r="D3600" s="163"/>
      <c r="E3600" s="163"/>
      <c r="F3600" s="163"/>
      <c r="G3600" s="163"/>
      <c r="H3600" s="163"/>
    </row>
    <row r="3601" spans="4:8" ht="11.25" customHeight="1">
      <c r="D3601" s="163"/>
      <c r="E3601" s="163"/>
      <c r="F3601" s="163"/>
      <c r="G3601" s="163"/>
      <c r="H3601" s="163"/>
    </row>
    <row r="3602" spans="4:8" ht="11.25" customHeight="1">
      <c r="D3602" s="163"/>
      <c r="E3602" s="163"/>
      <c r="F3602" s="163"/>
      <c r="G3602" s="163"/>
      <c r="H3602" s="163"/>
    </row>
    <row r="3603" spans="4:8" ht="11.25" customHeight="1">
      <c r="D3603" s="163"/>
      <c r="E3603" s="163"/>
      <c r="F3603" s="163"/>
      <c r="G3603" s="163"/>
      <c r="H3603" s="163"/>
    </row>
    <row r="3604" spans="4:8" ht="11.25" customHeight="1">
      <c r="D3604" s="163"/>
      <c r="E3604" s="163"/>
      <c r="F3604" s="163"/>
      <c r="G3604" s="163"/>
      <c r="H3604" s="163"/>
    </row>
    <row r="3605" spans="4:8" ht="11.25" customHeight="1">
      <c r="D3605" s="163"/>
      <c r="E3605" s="163"/>
      <c r="F3605" s="163"/>
      <c r="G3605" s="163"/>
      <c r="H3605" s="163"/>
    </row>
    <row r="3606" spans="4:8" ht="11.25" customHeight="1">
      <c r="D3606" s="163"/>
      <c r="E3606" s="163"/>
      <c r="F3606" s="163"/>
      <c r="G3606" s="163"/>
      <c r="H3606" s="163"/>
    </row>
    <row r="3607" spans="4:8" ht="11.25" customHeight="1">
      <c r="D3607" s="163"/>
      <c r="E3607" s="163"/>
      <c r="F3607" s="163"/>
      <c r="G3607" s="163"/>
      <c r="H3607" s="163"/>
    </row>
    <row r="3608" spans="4:8" ht="11.25" customHeight="1">
      <c r="D3608" s="163"/>
      <c r="E3608" s="163"/>
      <c r="F3608" s="163"/>
      <c r="G3608" s="163"/>
      <c r="H3608" s="163"/>
    </row>
    <row r="3609" spans="4:8" ht="11.25" customHeight="1">
      <c r="D3609" s="163"/>
      <c r="E3609" s="163"/>
      <c r="F3609" s="163"/>
      <c r="G3609" s="163"/>
      <c r="H3609" s="163"/>
    </row>
    <row r="3610" spans="4:8" ht="11.25" customHeight="1">
      <c r="D3610" s="163"/>
      <c r="E3610" s="163"/>
      <c r="F3610" s="163"/>
      <c r="G3610" s="163"/>
      <c r="H3610" s="163"/>
    </row>
    <row r="3611" spans="4:8" ht="11.25" customHeight="1">
      <c r="D3611" s="163"/>
      <c r="E3611" s="163"/>
      <c r="F3611" s="163"/>
      <c r="G3611" s="163"/>
      <c r="H3611" s="163"/>
    </row>
    <row r="3612" spans="4:8" ht="11.25" customHeight="1">
      <c r="D3612" s="163"/>
      <c r="E3612" s="163"/>
      <c r="F3612" s="163"/>
      <c r="G3612" s="163"/>
      <c r="H3612" s="163"/>
    </row>
    <row r="3613" spans="4:8" ht="11.25" customHeight="1">
      <c r="D3613" s="163"/>
      <c r="E3613" s="163"/>
      <c r="F3613" s="163"/>
      <c r="G3613" s="163"/>
      <c r="H3613" s="163"/>
    </row>
    <row r="3614" spans="4:8" ht="11.25" customHeight="1">
      <c r="D3614" s="163"/>
      <c r="E3614" s="163"/>
      <c r="F3614" s="163"/>
      <c r="G3614" s="163"/>
      <c r="H3614" s="163"/>
    </row>
    <row r="3615" spans="4:8" ht="11.25" customHeight="1">
      <c r="D3615" s="163"/>
      <c r="E3615" s="163"/>
      <c r="F3615" s="163"/>
      <c r="G3615" s="163"/>
      <c r="H3615" s="163"/>
    </row>
    <row r="3616" spans="4:8" ht="11.25" customHeight="1">
      <c r="D3616" s="163"/>
      <c r="E3616" s="163"/>
      <c r="F3616" s="163"/>
      <c r="G3616" s="163"/>
      <c r="H3616" s="163"/>
    </row>
    <row r="3617" spans="4:8" ht="11.25" customHeight="1">
      <c r="D3617" s="163"/>
      <c r="E3617" s="163"/>
      <c r="F3617" s="163"/>
      <c r="G3617" s="163"/>
      <c r="H3617" s="163"/>
    </row>
    <row r="3618" spans="4:8" ht="11.25" customHeight="1">
      <c r="D3618" s="163"/>
      <c r="E3618" s="163"/>
      <c r="F3618" s="163"/>
      <c r="G3618" s="163"/>
      <c r="H3618" s="163"/>
    </row>
    <row r="3619" spans="4:8" ht="11.25" customHeight="1">
      <c r="D3619" s="163"/>
      <c r="E3619" s="163"/>
      <c r="F3619" s="163"/>
      <c r="G3619" s="163"/>
      <c r="H3619" s="163"/>
    </row>
    <row r="3620" spans="4:8" ht="11.25" customHeight="1">
      <c r="D3620" s="163"/>
      <c r="E3620" s="163"/>
      <c r="F3620" s="163"/>
      <c r="G3620" s="163"/>
      <c r="H3620" s="163"/>
    </row>
    <row r="3621" spans="4:8" ht="11.25" customHeight="1">
      <c r="D3621" s="163"/>
      <c r="E3621" s="163"/>
      <c r="F3621" s="163"/>
      <c r="G3621" s="163"/>
      <c r="H3621" s="163"/>
    </row>
    <row r="3622" spans="4:8" ht="11.25" customHeight="1">
      <c r="D3622" s="163"/>
      <c r="E3622" s="163"/>
      <c r="F3622" s="163"/>
      <c r="G3622" s="163"/>
      <c r="H3622" s="163"/>
    </row>
    <row r="3623" spans="4:8" ht="11.25" customHeight="1">
      <c r="D3623" s="163"/>
      <c r="E3623" s="163"/>
      <c r="F3623" s="163"/>
      <c r="G3623" s="163"/>
      <c r="H3623" s="163"/>
    </row>
    <row r="3624" spans="4:8" ht="11.25" customHeight="1">
      <c r="D3624" s="163"/>
      <c r="E3624" s="163"/>
      <c r="F3624" s="163"/>
      <c r="G3624" s="163"/>
      <c r="H3624" s="163"/>
    </row>
    <row r="3625" spans="4:8" ht="11.25" customHeight="1">
      <c r="D3625" s="163"/>
      <c r="E3625" s="163"/>
      <c r="F3625" s="163"/>
      <c r="G3625" s="163"/>
      <c r="H3625" s="163"/>
    </row>
    <row r="3626" spans="4:8" ht="11.25" customHeight="1">
      <c r="D3626" s="163"/>
      <c r="E3626" s="163"/>
      <c r="F3626" s="163"/>
      <c r="G3626" s="163"/>
      <c r="H3626" s="163"/>
    </row>
    <row r="3627" spans="4:8" ht="11.25" customHeight="1">
      <c r="D3627" s="163"/>
      <c r="E3627" s="163"/>
      <c r="F3627" s="163"/>
      <c r="G3627" s="163"/>
      <c r="H3627" s="163"/>
    </row>
    <row r="3628" spans="4:8" ht="11.25" customHeight="1">
      <c r="D3628" s="163"/>
      <c r="E3628" s="163"/>
      <c r="F3628" s="163"/>
      <c r="G3628" s="163"/>
      <c r="H3628" s="163"/>
    </row>
    <row r="3629" spans="4:8" ht="11.25" customHeight="1">
      <c r="D3629" s="163"/>
      <c r="E3629" s="163"/>
      <c r="F3629" s="163"/>
      <c r="G3629" s="163"/>
      <c r="H3629" s="163"/>
    </row>
    <row r="3630" spans="4:8" ht="11.25" customHeight="1">
      <c r="D3630" s="163"/>
      <c r="E3630" s="163"/>
      <c r="F3630" s="163"/>
      <c r="G3630" s="163"/>
      <c r="H3630" s="163"/>
    </row>
    <row r="3631" spans="4:8" ht="11.25" customHeight="1">
      <c r="D3631" s="163"/>
      <c r="E3631" s="163"/>
      <c r="F3631" s="163"/>
      <c r="G3631" s="163"/>
      <c r="H3631" s="163"/>
    </row>
    <row r="3632" spans="4:8" ht="11.25" customHeight="1">
      <c r="D3632" s="163"/>
      <c r="E3632" s="163"/>
      <c r="F3632" s="163"/>
      <c r="G3632" s="163"/>
      <c r="H3632" s="163"/>
    </row>
    <row r="3633" spans="4:8" ht="11.25" customHeight="1">
      <c r="D3633" s="163"/>
      <c r="E3633" s="163"/>
      <c r="F3633" s="163"/>
      <c r="G3633" s="163"/>
      <c r="H3633" s="163"/>
    </row>
    <row r="3634" spans="4:8" ht="11.25" customHeight="1">
      <c r="D3634" s="163"/>
      <c r="E3634" s="163"/>
      <c r="F3634" s="163"/>
      <c r="G3634" s="163"/>
      <c r="H3634" s="163"/>
    </row>
    <row r="3635" spans="4:8" ht="11.25" customHeight="1">
      <c r="D3635" s="163"/>
      <c r="E3635" s="163"/>
      <c r="F3635" s="163"/>
      <c r="G3635" s="163"/>
      <c r="H3635" s="163"/>
    </row>
    <row r="3636" spans="4:8" ht="11.25" customHeight="1">
      <c r="D3636" s="163"/>
      <c r="E3636" s="163"/>
      <c r="F3636" s="163"/>
      <c r="G3636" s="163"/>
      <c r="H3636" s="163"/>
    </row>
    <row r="3637" spans="4:8" ht="11.25" customHeight="1">
      <c r="D3637" s="163"/>
      <c r="E3637" s="163"/>
      <c r="F3637" s="163"/>
      <c r="G3637" s="163"/>
      <c r="H3637" s="163"/>
    </row>
    <row r="3638" spans="4:8" ht="11.25" customHeight="1">
      <c r="D3638" s="163"/>
      <c r="E3638" s="163"/>
      <c r="F3638" s="163"/>
      <c r="G3638" s="163"/>
      <c r="H3638" s="163"/>
    </row>
    <row r="3639" spans="4:8" ht="11.25" customHeight="1">
      <c r="D3639" s="163"/>
      <c r="E3639" s="163"/>
      <c r="F3639" s="163"/>
      <c r="G3639" s="163"/>
      <c r="H3639" s="163"/>
    </row>
    <row r="3640" spans="4:8" ht="11.25" customHeight="1">
      <c r="D3640" s="163"/>
      <c r="E3640" s="163"/>
      <c r="F3640" s="163"/>
      <c r="G3640" s="163"/>
      <c r="H3640" s="163"/>
    </row>
    <row r="3641" spans="4:8" ht="11.25" customHeight="1">
      <c r="D3641" s="163"/>
      <c r="E3641" s="163"/>
      <c r="F3641" s="163"/>
      <c r="G3641" s="163"/>
      <c r="H3641" s="163"/>
    </row>
    <row r="3642" spans="4:8" ht="11.25" customHeight="1">
      <c r="D3642" s="163"/>
      <c r="E3642" s="163"/>
      <c r="F3642" s="163"/>
      <c r="G3642" s="163"/>
      <c r="H3642" s="163"/>
    </row>
    <row r="3643" spans="4:8" ht="11.25" customHeight="1">
      <c r="D3643" s="163"/>
      <c r="E3643" s="163"/>
      <c r="F3643" s="163"/>
      <c r="G3643" s="163"/>
      <c r="H3643" s="163"/>
    </row>
    <row r="3644" spans="4:8" ht="11.25" customHeight="1">
      <c r="D3644" s="163"/>
      <c r="E3644" s="163"/>
      <c r="F3644" s="163"/>
      <c r="G3644" s="163"/>
      <c r="H3644" s="163"/>
    </row>
    <row r="3645" spans="4:8" ht="11.25" customHeight="1">
      <c r="D3645" s="163"/>
      <c r="E3645" s="163"/>
      <c r="F3645" s="163"/>
      <c r="G3645" s="163"/>
      <c r="H3645" s="163"/>
    </row>
    <row r="3646" spans="4:8" ht="11.25" customHeight="1">
      <c r="D3646" s="163"/>
      <c r="E3646" s="163"/>
      <c r="F3646" s="163"/>
      <c r="G3646" s="163"/>
      <c r="H3646" s="163"/>
    </row>
    <row r="3647" spans="4:8" ht="11.25" customHeight="1">
      <c r="D3647" s="163"/>
      <c r="E3647" s="163"/>
      <c r="F3647" s="163"/>
      <c r="G3647" s="163"/>
      <c r="H3647" s="163"/>
    </row>
    <row r="3648" spans="4:8" ht="11.25" customHeight="1">
      <c r="D3648" s="163"/>
      <c r="E3648" s="163"/>
      <c r="F3648" s="163"/>
      <c r="G3648" s="163"/>
      <c r="H3648" s="163"/>
    </row>
    <row r="3649" spans="4:8" ht="11.25" customHeight="1">
      <c r="D3649" s="163"/>
      <c r="E3649" s="163"/>
      <c r="F3649" s="163"/>
      <c r="G3649" s="163"/>
      <c r="H3649" s="163"/>
    </row>
    <row r="3650" spans="4:8" ht="11.25" customHeight="1">
      <c r="D3650" s="163"/>
      <c r="E3650" s="163"/>
      <c r="F3650" s="163"/>
      <c r="G3650" s="163"/>
      <c r="H3650" s="163"/>
    </row>
    <row r="3651" spans="4:8" ht="11.25" customHeight="1">
      <c r="D3651" s="163"/>
      <c r="E3651" s="163"/>
      <c r="F3651" s="163"/>
      <c r="G3651" s="163"/>
      <c r="H3651" s="163"/>
    </row>
    <row r="3652" spans="4:8" ht="11.25" customHeight="1">
      <c r="D3652" s="163"/>
      <c r="E3652" s="163"/>
      <c r="F3652" s="163"/>
      <c r="G3652" s="163"/>
      <c r="H3652" s="163"/>
    </row>
    <row r="3653" spans="4:8" ht="11.25" customHeight="1">
      <c r="D3653" s="163"/>
      <c r="E3653" s="163"/>
      <c r="F3653" s="163"/>
      <c r="G3653" s="163"/>
      <c r="H3653" s="163"/>
    </row>
    <row r="3654" spans="4:8" ht="11.25" customHeight="1">
      <c r="D3654" s="163"/>
      <c r="E3654" s="163"/>
      <c r="F3654" s="163"/>
      <c r="G3654" s="163"/>
      <c r="H3654" s="163"/>
    </row>
    <row r="3655" spans="4:8" ht="11.25" customHeight="1">
      <c r="D3655" s="163"/>
      <c r="E3655" s="163"/>
      <c r="F3655" s="163"/>
      <c r="G3655" s="163"/>
      <c r="H3655" s="163"/>
    </row>
    <row r="3656" spans="4:8" ht="11.25" customHeight="1">
      <c r="D3656" s="163"/>
      <c r="E3656" s="163"/>
      <c r="F3656" s="163"/>
      <c r="G3656" s="163"/>
      <c r="H3656" s="163"/>
    </row>
    <row r="3657" spans="4:8" ht="11.25" customHeight="1">
      <c r="D3657" s="163"/>
      <c r="E3657" s="163"/>
      <c r="F3657" s="163"/>
      <c r="G3657" s="163"/>
      <c r="H3657" s="163"/>
    </row>
    <row r="3658" spans="4:8" ht="11.25" customHeight="1">
      <c r="D3658" s="163"/>
      <c r="E3658" s="163"/>
      <c r="F3658" s="163"/>
      <c r="G3658" s="163"/>
      <c r="H3658" s="163"/>
    </row>
    <row r="3659" spans="4:8" ht="11.25" customHeight="1">
      <c r="D3659" s="163"/>
      <c r="E3659" s="163"/>
      <c r="F3659" s="163"/>
      <c r="G3659" s="163"/>
      <c r="H3659" s="163"/>
    </row>
    <row r="3660" spans="4:8" ht="11.25" customHeight="1">
      <c r="D3660" s="163"/>
      <c r="E3660" s="163"/>
      <c r="F3660" s="163"/>
      <c r="G3660" s="163"/>
      <c r="H3660" s="163"/>
    </row>
    <row r="3661" spans="4:8" ht="11.25" customHeight="1">
      <c r="D3661" s="163"/>
      <c r="E3661" s="163"/>
      <c r="F3661" s="163"/>
      <c r="G3661" s="163"/>
      <c r="H3661" s="163"/>
    </row>
    <row r="3662" spans="4:8" ht="11.25" customHeight="1">
      <c r="D3662" s="163"/>
      <c r="E3662" s="163"/>
      <c r="F3662" s="163"/>
      <c r="G3662" s="163"/>
      <c r="H3662" s="163"/>
    </row>
    <row r="3663" spans="4:8" ht="11.25" customHeight="1">
      <c r="D3663" s="163"/>
      <c r="E3663" s="163"/>
      <c r="F3663" s="163"/>
      <c r="G3663" s="163"/>
      <c r="H3663" s="163"/>
    </row>
    <row r="3664" spans="4:8" ht="11.25" customHeight="1">
      <c r="D3664" s="163"/>
      <c r="E3664" s="163"/>
      <c r="F3664" s="163"/>
      <c r="G3664" s="163"/>
      <c r="H3664" s="163"/>
    </row>
    <row r="3665" spans="4:8" ht="11.25" customHeight="1">
      <c r="D3665" s="163"/>
      <c r="E3665" s="163"/>
      <c r="F3665" s="163"/>
      <c r="G3665" s="163"/>
      <c r="H3665" s="163"/>
    </row>
    <row r="3666" spans="4:8" ht="11.25" customHeight="1">
      <c r="D3666" s="163"/>
      <c r="E3666" s="163"/>
      <c r="F3666" s="163"/>
      <c r="G3666" s="163"/>
      <c r="H3666" s="163"/>
    </row>
    <row r="3667" spans="4:8" ht="11.25" customHeight="1">
      <c r="D3667" s="163"/>
      <c r="E3667" s="163"/>
      <c r="F3667" s="163"/>
      <c r="G3667" s="163"/>
      <c r="H3667" s="163"/>
    </row>
    <row r="3668" spans="4:8" ht="11.25" customHeight="1">
      <c r="D3668" s="163"/>
      <c r="E3668" s="163"/>
      <c r="F3668" s="163"/>
      <c r="G3668" s="163"/>
      <c r="H3668" s="163"/>
    </row>
    <row r="3669" spans="4:8" ht="11.25" customHeight="1">
      <c r="D3669" s="163"/>
      <c r="E3669" s="163"/>
      <c r="F3669" s="163"/>
      <c r="G3669" s="163"/>
      <c r="H3669" s="163"/>
    </row>
    <row r="3670" spans="4:8" ht="11.25" customHeight="1">
      <c r="D3670" s="163"/>
      <c r="E3670" s="163"/>
      <c r="F3670" s="163"/>
      <c r="G3670" s="163"/>
      <c r="H3670" s="163"/>
    </row>
    <row r="3671" spans="4:8" ht="11.25" customHeight="1">
      <c r="D3671" s="163"/>
      <c r="E3671" s="163"/>
      <c r="F3671" s="163"/>
      <c r="G3671" s="163"/>
      <c r="H3671" s="163"/>
    </row>
    <row r="3672" spans="4:8" ht="11.25" customHeight="1">
      <c r="D3672" s="163"/>
      <c r="E3672" s="163"/>
      <c r="F3672" s="163"/>
      <c r="G3672" s="163"/>
      <c r="H3672" s="163"/>
    </row>
    <row r="3673" spans="4:8" ht="11.25" customHeight="1">
      <c r="D3673" s="163"/>
      <c r="E3673" s="163"/>
      <c r="F3673" s="163"/>
      <c r="G3673" s="163"/>
      <c r="H3673" s="163"/>
    </row>
    <row r="3674" spans="4:8" ht="11.25" customHeight="1">
      <c r="D3674" s="163"/>
      <c r="E3674" s="163"/>
      <c r="F3674" s="163"/>
      <c r="G3674" s="163"/>
      <c r="H3674" s="163"/>
    </row>
    <row r="3675" spans="4:8" ht="11.25" customHeight="1">
      <c r="D3675" s="163"/>
      <c r="E3675" s="163"/>
      <c r="F3675" s="163"/>
      <c r="G3675" s="163"/>
      <c r="H3675" s="163"/>
    </row>
    <row r="3676" spans="4:8" ht="11.25" customHeight="1">
      <c r="D3676" s="163"/>
      <c r="E3676" s="163"/>
      <c r="F3676" s="163"/>
      <c r="G3676" s="163"/>
      <c r="H3676" s="163"/>
    </row>
    <row r="3677" spans="4:8" ht="11.25" customHeight="1">
      <c r="D3677" s="163"/>
      <c r="E3677" s="163"/>
      <c r="F3677" s="163"/>
      <c r="G3677" s="163"/>
      <c r="H3677" s="163"/>
    </row>
    <row r="3678" spans="4:8" ht="11.25" customHeight="1">
      <c r="D3678" s="163"/>
      <c r="E3678" s="163"/>
      <c r="F3678" s="163"/>
      <c r="G3678" s="163"/>
      <c r="H3678" s="163"/>
    </row>
    <row r="3679" spans="4:8" ht="11.25" customHeight="1">
      <c r="D3679" s="163"/>
      <c r="E3679" s="163"/>
      <c r="F3679" s="163"/>
      <c r="G3679" s="163"/>
      <c r="H3679" s="163"/>
    </row>
    <row r="3680" spans="4:8" ht="11.25" customHeight="1">
      <c r="D3680" s="163"/>
      <c r="E3680" s="163"/>
      <c r="F3680" s="163"/>
      <c r="G3680" s="163"/>
      <c r="H3680" s="163"/>
    </row>
    <row r="3681" spans="4:8" ht="11.25" customHeight="1">
      <c r="D3681" s="163"/>
      <c r="E3681" s="163"/>
      <c r="F3681" s="163"/>
      <c r="G3681" s="163"/>
      <c r="H3681" s="163"/>
    </row>
    <row r="3682" spans="4:8" ht="11.25" customHeight="1">
      <c r="D3682" s="163"/>
      <c r="E3682" s="163"/>
      <c r="F3682" s="163"/>
      <c r="G3682" s="163"/>
      <c r="H3682" s="163"/>
    </row>
    <row r="3683" spans="4:8" ht="11.25" customHeight="1">
      <c r="D3683" s="163"/>
      <c r="E3683" s="163"/>
      <c r="F3683" s="163"/>
      <c r="G3683" s="163"/>
      <c r="H3683" s="163"/>
    </row>
    <row r="3684" spans="4:8" ht="11.25" customHeight="1">
      <c r="D3684" s="163"/>
      <c r="E3684" s="163"/>
      <c r="F3684" s="163"/>
      <c r="G3684" s="163"/>
      <c r="H3684" s="163"/>
    </row>
    <row r="3685" spans="4:8" ht="11.25" customHeight="1">
      <c r="D3685" s="163"/>
      <c r="E3685" s="163"/>
      <c r="F3685" s="163"/>
      <c r="G3685" s="163"/>
      <c r="H3685" s="163"/>
    </row>
    <row r="3686" spans="4:8" ht="11.25" customHeight="1">
      <c r="D3686" s="163"/>
      <c r="E3686" s="163"/>
      <c r="F3686" s="163"/>
      <c r="G3686" s="163"/>
      <c r="H3686" s="163"/>
    </row>
    <row r="3687" spans="4:8" ht="11.25" customHeight="1">
      <c r="D3687" s="163"/>
      <c r="E3687" s="163"/>
      <c r="F3687" s="163"/>
      <c r="G3687" s="163"/>
      <c r="H3687" s="163"/>
    </row>
    <row r="3688" spans="4:8" ht="11.25" customHeight="1">
      <c r="D3688" s="163"/>
      <c r="E3688" s="163"/>
      <c r="F3688" s="163"/>
      <c r="G3688" s="163"/>
      <c r="H3688" s="163"/>
    </row>
    <row r="3689" spans="4:8" ht="11.25" customHeight="1">
      <c r="D3689" s="163"/>
      <c r="E3689" s="163"/>
      <c r="F3689" s="163"/>
      <c r="G3689" s="163"/>
      <c r="H3689" s="163"/>
    </row>
    <row r="3690" spans="4:8" ht="11.25" customHeight="1">
      <c r="D3690" s="163"/>
      <c r="E3690" s="163"/>
      <c r="F3690" s="163"/>
      <c r="G3690" s="163"/>
      <c r="H3690" s="163"/>
    </row>
    <row r="3691" spans="4:8" ht="11.25" customHeight="1">
      <c r="D3691" s="163"/>
      <c r="E3691" s="163"/>
      <c r="F3691" s="163"/>
      <c r="G3691" s="163"/>
      <c r="H3691" s="163"/>
    </row>
    <row r="3692" spans="4:8" ht="11.25" customHeight="1">
      <c r="D3692" s="163"/>
      <c r="E3692" s="163"/>
      <c r="F3692" s="163"/>
      <c r="G3692" s="163"/>
      <c r="H3692" s="163"/>
    </row>
    <row r="3693" spans="4:8" ht="11.25" customHeight="1">
      <c r="D3693" s="163"/>
      <c r="E3693" s="163"/>
      <c r="F3693" s="163"/>
      <c r="G3693" s="163"/>
      <c r="H3693" s="163"/>
    </row>
    <row r="3694" spans="4:8" ht="11.25" customHeight="1">
      <c r="D3694" s="163"/>
      <c r="E3694" s="163"/>
      <c r="F3694" s="163"/>
      <c r="G3694" s="163"/>
      <c r="H3694" s="163"/>
    </row>
    <row r="3695" spans="4:8" ht="11.25" customHeight="1">
      <c r="D3695" s="163"/>
      <c r="E3695" s="163"/>
      <c r="F3695" s="163"/>
      <c r="G3695" s="163"/>
      <c r="H3695" s="163"/>
    </row>
    <row r="3696" spans="4:8" ht="11.25" customHeight="1">
      <c r="D3696" s="163"/>
      <c r="E3696" s="163"/>
      <c r="F3696" s="163"/>
      <c r="G3696" s="163"/>
      <c r="H3696" s="163"/>
    </row>
    <row r="3697" spans="4:8" ht="11.25" customHeight="1">
      <c r="D3697" s="163"/>
      <c r="E3697" s="163"/>
      <c r="F3697" s="163"/>
      <c r="G3697" s="163"/>
      <c r="H3697" s="163"/>
    </row>
    <row r="3698" spans="4:8" ht="11.25" customHeight="1">
      <c r="D3698" s="163"/>
      <c r="E3698" s="163"/>
      <c r="F3698" s="163"/>
      <c r="G3698" s="163"/>
      <c r="H3698" s="163"/>
    </row>
    <row r="3699" spans="4:8" ht="11.25" customHeight="1">
      <c r="D3699" s="163"/>
      <c r="E3699" s="163"/>
      <c r="F3699" s="163"/>
      <c r="G3699" s="163"/>
      <c r="H3699" s="163"/>
    </row>
    <row r="3700" spans="4:8" ht="11.25" customHeight="1">
      <c r="D3700" s="163"/>
      <c r="E3700" s="163"/>
      <c r="F3700" s="163"/>
      <c r="G3700" s="163"/>
      <c r="H3700" s="163"/>
    </row>
    <row r="3701" spans="4:8" ht="11.25" customHeight="1">
      <c r="D3701" s="163"/>
      <c r="E3701" s="163"/>
      <c r="F3701" s="163"/>
      <c r="G3701" s="163"/>
      <c r="H3701" s="163"/>
    </row>
    <row r="3702" spans="4:8" ht="11.25" customHeight="1">
      <c r="D3702" s="163"/>
      <c r="E3702" s="163"/>
      <c r="F3702" s="163"/>
      <c r="G3702" s="163"/>
      <c r="H3702" s="163"/>
    </row>
    <row r="3703" spans="4:8" ht="11.25" customHeight="1">
      <c r="D3703" s="163"/>
      <c r="E3703" s="163"/>
      <c r="F3703" s="163"/>
      <c r="G3703" s="163"/>
      <c r="H3703" s="163"/>
    </row>
    <row r="3704" spans="4:8" ht="11.25" customHeight="1">
      <c r="D3704" s="163"/>
      <c r="E3704" s="163"/>
      <c r="F3704" s="163"/>
      <c r="G3704" s="163"/>
      <c r="H3704" s="163"/>
    </row>
    <row r="3705" spans="4:8" ht="11.25" customHeight="1">
      <c r="D3705" s="163"/>
      <c r="E3705" s="163"/>
      <c r="F3705" s="163"/>
      <c r="G3705" s="163"/>
      <c r="H3705" s="163"/>
    </row>
    <row r="3706" spans="4:8" ht="11.25" customHeight="1">
      <c r="D3706" s="163"/>
      <c r="E3706" s="163"/>
      <c r="F3706" s="163"/>
      <c r="G3706" s="163"/>
      <c r="H3706" s="163"/>
    </row>
    <row r="3707" spans="4:8" ht="11.25" customHeight="1">
      <c r="D3707" s="163"/>
      <c r="E3707" s="163"/>
      <c r="F3707" s="163"/>
      <c r="G3707" s="163"/>
      <c r="H3707" s="163"/>
    </row>
    <row r="3708" spans="4:8" ht="11.25" customHeight="1">
      <c r="D3708" s="163"/>
      <c r="E3708" s="163"/>
      <c r="F3708" s="163"/>
      <c r="G3708" s="163"/>
      <c r="H3708" s="163"/>
    </row>
    <row r="3709" spans="4:8" ht="11.25" customHeight="1">
      <c r="D3709" s="163"/>
      <c r="E3709" s="163"/>
      <c r="F3709" s="163"/>
      <c r="G3709" s="163"/>
      <c r="H3709" s="163"/>
    </row>
    <row r="3710" spans="4:8" ht="11.25" customHeight="1">
      <c r="D3710" s="163"/>
      <c r="E3710" s="163"/>
      <c r="F3710" s="163"/>
      <c r="G3710" s="163"/>
      <c r="H3710" s="163"/>
    </row>
    <row r="3711" spans="4:8" ht="11.25" customHeight="1">
      <c r="D3711" s="163"/>
      <c r="E3711" s="163"/>
      <c r="F3711" s="163"/>
      <c r="G3711" s="163"/>
      <c r="H3711" s="163"/>
    </row>
    <row r="3712" spans="4:8" ht="11.25" customHeight="1">
      <c r="D3712" s="163"/>
      <c r="E3712" s="163"/>
      <c r="F3712" s="163"/>
      <c r="G3712" s="163"/>
      <c r="H3712" s="163"/>
    </row>
    <row r="3713" spans="4:8" ht="11.25" customHeight="1">
      <c r="D3713" s="163"/>
      <c r="E3713" s="163"/>
      <c r="F3713" s="163"/>
      <c r="G3713" s="163"/>
      <c r="H3713" s="163"/>
    </row>
    <row r="3714" spans="4:8" ht="11.25" customHeight="1">
      <c r="D3714" s="163"/>
      <c r="E3714" s="163"/>
      <c r="F3714" s="163"/>
      <c r="G3714" s="163"/>
      <c r="H3714" s="163"/>
    </row>
    <row r="3715" spans="4:8" ht="11.25" customHeight="1">
      <c r="D3715" s="163"/>
      <c r="E3715" s="163"/>
      <c r="F3715" s="163"/>
      <c r="G3715" s="163"/>
      <c r="H3715" s="163"/>
    </row>
    <row r="3716" spans="4:8" ht="11.25" customHeight="1">
      <c r="D3716" s="163"/>
      <c r="E3716" s="163"/>
      <c r="F3716" s="163"/>
      <c r="G3716" s="163"/>
      <c r="H3716" s="163"/>
    </row>
    <row r="3717" spans="4:8" ht="11.25" customHeight="1">
      <c r="D3717" s="163"/>
      <c r="E3717" s="163"/>
      <c r="F3717" s="163"/>
      <c r="G3717" s="163"/>
      <c r="H3717" s="163"/>
    </row>
    <row r="3718" spans="4:8" ht="11.25" customHeight="1">
      <c r="D3718" s="163"/>
      <c r="E3718" s="163"/>
      <c r="F3718" s="163"/>
      <c r="G3718" s="163"/>
      <c r="H3718" s="163"/>
    </row>
    <row r="3719" spans="4:8" ht="11.25" customHeight="1">
      <c r="D3719" s="163"/>
      <c r="E3719" s="163"/>
      <c r="F3719" s="163"/>
      <c r="G3719" s="163"/>
      <c r="H3719" s="163"/>
    </row>
    <row r="3720" spans="4:8" ht="11.25" customHeight="1">
      <c r="D3720" s="163"/>
      <c r="E3720" s="163"/>
      <c r="F3720" s="163"/>
      <c r="G3720" s="163"/>
      <c r="H3720" s="163"/>
    </row>
    <row r="3721" spans="4:8" ht="11.25" customHeight="1">
      <c r="D3721" s="163"/>
      <c r="E3721" s="163"/>
      <c r="F3721" s="163"/>
      <c r="G3721" s="163"/>
      <c r="H3721" s="163"/>
    </row>
    <row r="3722" spans="4:8" ht="11.25" customHeight="1">
      <c r="D3722" s="163"/>
      <c r="E3722" s="163"/>
      <c r="F3722" s="163"/>
      <c r="G3722" s="163"/>
      <c r="H3722" s="163"/>
    </row>
    <row r="3723" spans="4:8" ht="11.25" customHeight="1">
      <c r="D3723" s="163"/>
      <c r="E3723" s="163"/>
      <c r="F3723" s="163"/>
      <c r="G3723" s="163"/>
      <c r="H3723" s="163"/>
    </row>
    <row r="3724" spans="4:8" ht="11.25" customHeight="1">
      <c r="D3724" s="163"/>
      <c r="E3724" s="163"/>
      <c r="F3724" s="163"/>
      <c r="G3724" s="163"/>
      <c r="H3724" s="163"/>
    </row>
    <row r="3725" spans="4:8" ht="11.25" customHeight="1">
      <c r="D3725" s="163"/>
      <c r="E3725" s="163"/>
      <c r="F3725" s="163"/>
      <c r="G3725" s="163"/>
      <c r="H3725" s="163"/>
    </row>
    <row r="3726" spans="4:8" ht="11.25" customHeight="1">
      <c r="D3726" s="163"/>
      <c r="E3726" s="163"/>
      <c r="F3726" s="163"/>
      <c r="G3726" s="163"/>
      <c r="H3726" s="163"/>
    </row>
    <row r="3727" spans="4:8" ht="11.25" customHeight="1">
      <c r="D3727" s="163"/>
      <c r="E3727" s="163"/>
      <c r="F3727" s="163"/>
      <c r="G3727" s="163"/>
      <c r="H3727" s="163"/>
    </row>
    <row r="3728" spans="4:8" ht="11.25" customHeight="1">
      <c r="D3728" s="163"/>
      <c r="E3728" s="163"/>
      <c r="F3728" s="163"/>
      <c r="G3728" s="163"/>
      <c r="H3728" s="163"/>
    </row>
    <row r="3729" spans="4:8" ht="11.25" customHeight="1">
      <c r="D3729" s="163"/>
      <c r="E3729" s="163"/>
      <c r="F3729" s="163"/>
      <c r="G3729" s="163"/>
      <c r="H3729" s="163"/>
    </row>
    <row r="3730" spans="4:8" ht="11.25" customHeight="1">
      <c r="D3730" s="163"/>
      <c r="E3730" s="163"/>
      <c r="F3730" s="163"/>
      <c r="G3730" s="163"/>
      <c r="H3730" s="163"/>
    </row>
    <row r="3731" spans="4:8" ht="11.25" customHeight="1">
      <c r="D3731" s="163"/>
      <c r="E3731" s="163"/>
      <c r="F3731" s="163"/>
      <c r="G3731" s="163"/>
      <c r="H3731" s="163"/>
    </row>
    <row r="3732" spans="4:8" ht="11.25" customHeight="1">
      <c r="D3732" s="163"/>
      <c r="E3732" s="163"/>
      <c r="F3732" s="163"/>
      <c r="G3732" s="163"/>
      <c r="H3732" s="163"/>
    </row>
    <row r="3733" spans="4:8" ht="11.25" customHeight="1">
      <c r="D3733" s="163"/>
      <c r="E3733" s="163"/>
      <c r="F3733" s="163"/>
      <c r="G3733" s="163"/>
      <c r="H3733" s="163"/>
    </row>
    <row r="3734" spans="4:8" ht="11.25" customHeight="1">
      <c r="D3734" s="163"/>
      <c r="E3734" s="163"/>
      <c r="F3734" s="163"/>
      <c r="G3734" s="163"/>
      <c r="H3734" s="163"/>
    </row>
    <row r="3735" spans="4:8" ht="11.25" customHeight="1">
      <c r="D3735" s="163"/>
      <c r="E3735" s="163"/>
      <c r="F3735" s="163"/>
      <c r="G3735" s="163"/>
      <c r="H3735" s="163"/>
    </row>
    <row r="3736" spans="4:8" ht="11.25" customHeight="1">
      <c r="D3736" s="163"/>
      <c r="E3736" s="163"/>
      <c r="F3736" s="163"/>
      <c r="G3736" s="163"/>
      <c r="H3736" s="163"/>
    </row>
    <row r="3737" spans="4:8" ht="11.25" customHeight="1">
      <c r="D3737" s="163"/>
      <c r="E3737" s="163"/>
      <c r="F3737" s="163"/>
      <c r="G3737" s="163"/>
      <c r="H3737" s="163"/>
    </row>
    <row r="3738" spans="4:8" ht="11.25" customHeight="1">
      <c r="D3738" s="163"/>
      <c r="E3738" s="163"/>
      <c r="F3738" s="163"/>
      <c r="G3738" s="163"/>
      <c r="H3738" s="163"/>
    </row>
    <row r="3739" spans="4:8" ht="11.25" customHeight="1">
      <c r="D3739" s="163"/>
      <c r="E3739" s="163"/>
      <c r="F3739" s="163"/>
      <c r="G3739" s="163"/>
      <c r="H3739" s="163"/>
    </row>
    <row r="3740" spans="4:8" ht="11.25" customHeight="1">
      <c r="D3740" s="163"/>
      <c r="E3740" s="163"/>
      <c r="F3740" s="163"/>
      <c r="G3740" s="163"/>
      <c r="H3740" s="163"/>
    </row>
    <row r="3741" spans="4:8" ht="11.25" customHeight="1">
      <c r="D3741" s="163"/>
      <c r="E3741" s="163"/>
      <c r="F3741" s="163"/>
      <c r="G3741" s="163"/>
      <c r="H3741" s="163"/>
    </row>
    <row r="3742" spans="4:8" ht="11.25" customHeight="1">
      <c r="D3742" s="163"/>
      <c r="E3742" s="163"/>
      <c r="F3742" s="163"/>
      <c r="G3742" s="163"/>
      <c r="H3742" s="163"/>
    </row>
    <row r="3743" spans="4:8" ht="11.25" customHeight="1">
      <c r="D3743" s="163"/>
      <c r="E3743" s="163"/>
      <c r="F3743" s="163"/>
      <c r="G3743" s="163"/>
      <c r="H3743" s="163"/>
    </row>
    <row r="3744" spans="4:8" ht="11.25" customHeight="1">
      <c r="D3744" s="163"/>
      <c r="E3744" s="163"/>
      <c r="F3744" s="163"/>
      <c r="G3744" s="163"/>
      <c r="H3744" s="163"/>
    </row>
    <row r="3745" spans="4:8" ht="11.25" customHeight="1">
      <c r="D3745" s="163"/>
      <c r="E3745" s="163"/>
      <c r="F3745" s="163"/>
      <c r="G3745" s="163"/>
      <c r="H3745" s="163"/>
    </row>
    <row r="3746" spans="4:8" ht="11.25" customHeight="1">
      <c r="D3746" s="163"/>
      <c r="E3746" s="163"/>
      <c r="F3746" s="163"/>
      <c r="G3746" s="163"/>
      <c r="H3746" s="163"/>
    </row>
    <row r="3747" spans="4:8" ht="11.25" customHeight="1">
      <c r="D3747" s="163"/>
      <c r="E3747" s="163"/>
      <c r="F3747" s="163"/>
      <c r="G3747" s="163"/>
      <c r="H3747" s="163"/>
    </row>
    <row r="3748" spans="4:8" ht="11.25" customHeight="1">
      <c r="D3748" s="163"/>
      <c r="E3748" s="163"/>
      <c r="F3748" s="163"/>
      <c r="G3748" s="163"/>
      <c r="H3748" s="163"/>
    </row>
    <row r="3749" spans="4:8" ht="11.25" customHeight="1">
      <c r="D3749" s="163"/>
      <c r="E3749" s="163"/>
      <c r="F3749" s="163"/>
      <c r="G3749" s="163"/>
      <c r="H3749" s="163"/>
    </row>
    <row r="3750" spans="4:8" ht="11.25" customHeight="1">
      <c r="D3750" s="163"/>
      <c r="E3750" s="163"/>
      <c r="F3750" s="163"/>
      <c r="G3750" s="163"/>
      <c r="H3750" s="163"/>
    </row>
    <row r="3751" spans="4:8" ht="11.25" customHeight="1">
      <c r="D3751" s="163"/>
      <c r="E3751" s="163"/>
      <c r="F3751" s="163"/>
      <c r="G3751" s="163"/>
      <c r="H3751" s="163"/>
    </row>
    <row r="3752" spans="4:8" ht="11.25" customHeight="1">
      <c r="D3752" s="163"/>
      <c r="E3752" s="163"/>
      <c r="F3752" s="163"/>
      <c r="G3752" s="163"/>
      <c r="H3752" s="163"/>
    </row>
    <row r="3753" spans="4:8" ht="11.25" customHeight="1">
      <c r="D3753" s="163"/>
      <c r="E3753" s="163"/>
      <c r="F3753" s="163"/>
      <c r="G3753" s="163"/>
      <c r="H3753" s="163"/>
    </row>
    <row r="3754" spans="4:8" ht="11.25" customHeight="1">
      <c r="D3754" s="163"/>
      <c r="E3754" s="163"/>
      <c r="F3754" s="163"/>
      <c r="G3754" s="163"/>
      <c r="H3754" s="163"/>
    </row>
    <row r="3755" spans="4:8" ht="11.25" customHeight="1">
      <c r="D3755" s="163"/>
      <c r="E3755" s="163"/>
      <c r="F3755" s="163"/>
      <c r="G3755" s="163"/>
      <c r="H3755" s="163"/>
    </row>
    <row r="3756" spans="4:8" ht="11.25" customHeight="1">
      <c r="D3756" s="163"/>
      <c r="E3756" s="163"/>
      <c r="F3756" s="163"/>
      <c r="G3756" s="163"/>
      <c r="H3756" s="163"/>
    </row>
    <row r="3757" spans="4:8" ht="11.25" customHeight="1">
      <c r="D3757" s="163"/>
      <c r="E3757" s="163"/>
      <c r="F3757" s="163"/>
      <c r="G3757" s="163"/>
      <c r="H3757" s="163"/>
    </row>
    <row r="3758" spans="4:8" ht="11.25" customHeight="1">
      <c r="D3758" s="163"/>
      <c r="E3758" s="163"/>
      <c r="F3758" s="163"/>
      <c r="G3758" s="163"/>
      <c r="H3758" s="163"/>
    </row>
    <row r="3759" spans="4:8" ht="11.25" customHeight="1">
      <c r="D3759" s="163"/>
      <c r="E3759" s="163"/>
      <c r="F3759" s="163"/>
      <c r="G3759" s="163"/>
      <c r="H3759" s="163"/>
    </row>
    <row r="3760" spans="4:8" ht="11.25" customHeight="1">
      <c r="D3760" s="163"/>
      <c r="E3760" s="163"/>
      <c r="F3760" s="163"/>
      <c r="G3760" s="163"/>
      <c r="H3760" s="163"/>
    </row>
    <row r="3761" spans="4:8" ht="11.25" customHeight="1">
      <c r="D3761" s="163"/>
      <c r="E3761" s="163"/>
      <c r="F3761" s="163"/>
      <c r="G3761" s="163"/>
      <c r="H3761" s="163"/>
    </row>
    <row r="3762" spans="4:8" ht="11.25" customHeight="1">
      <c r="D3762" s="163"/>
      <c r="E3762" s="163"/>
      <c r="F3762" s="163"/>
      <c r="G3762" s="163"/>
      <c r="H3762" s="163"/>
    </row>
    <row r="3763" spans="4:8" ht="11.25" customHeight="1">
      <c r="D3763" s="163"/>
      <c r="E3763" s="163"/>
      <c r="F3763" s="163"/>
      <c r="G3763" s="163"/>
      <c r="H3763" s="163"/>
    </row>
    <row r="3764" spans="4:8" ht="11.25" customHeight="1">
      <c r="D3764" s="163"/>
      <c r="E3764" s="163"/>
      <c r="F3764" s="163"/>
      <c r="G3764" s="163"/>
      <c r="H3764" s="163"/>
    </row>
    <row r="3765" spans="4:8" ht="11.25" customHeight="1">
      <c r="D3765" s="163"/>
      <c r="E3765" s="163"/>
      <c r="F3765" s="163"/>
      <c r="G3765" s="163"/>
      <c r="H3765" s="163"/>
    </row>
    <row r="3766" spans="4:8" ht="11.25" customHeight="1">
      <c r="D3766" s="163"/>
      <c r="E3766" s="163"/>
      <c r="F3766" s="163"/>
      <c r="G3766" s="163"/>
      <c r="H3766" s="163"/>
    </row>
    <row r="3767" spans="4:8" ht="11.25" customHeight="1">
      <c r="D3767" s="163"/>
      <c r="E3767" s="163"/>
      <c r="F3767" s="163"/>
      <c r="G3767" s="163"/>
      <c r="H3767" s="163"/>
    </row>
    <row r="3768" spans="4:8" ht="11.25" customHeight="1">
      <c r="D3768" s="163"/>
      <c r="E3768" s="163"/>
      <c r="F3768" s="163"/>
      <c r="G3768" s="163"/>
      <c r="H3768" s="163"/>
    </row>
    <row r="3769" spans="4:8" ht="11.25" customHeight="1">
      <c r="D3769" s="163"/>
      <c r="E3769" s="163"/>
      <c r="F3769" s="163"/>
      <c r="G3769" s="163"/>
      <c r="H3769" s="163"/>
    </row>
    <row r="3770" spans="4:8" ht="11.25" customHeight="1">
      <c r="D3770" s="163"/>
      <c r="E3770" s="163"/>
      <c r="F3770" s="163"/>
      <c r="G3770" s="163"/>
      <c r="H3770" s="163"/>
    </row>
    <row r="3771" spans="4:8" ht="11.25" customHeight="1">
      <c r="D3771" s="163"/>
      <c r="E3771" s="163"/>
      <c r="F3771" s="163"/>
      <c r="G3771" s="163"/>
      <c r="H3771" s="163"/>
    </row>
    <row r="3772" spans="4:8" ht="11.25" customHeight="1">
      <c r="D3772" s="163"/>
      <c r="E3772" s="163"/>
      <c r="F3772" s="163"/>
      <c r="G3772" s="163"/>
      <c r="H3772" s="163"/>
    </row>
    <row r="3773" spans="4:8" ht="11.25" customHeight="1">
      <c r="D3773" s="163"/>
      <c r="E3773" s="163"/>
      <c r="F3773" s="163"/>
      <c r="G3773" s="163"/>
      <c r="H3773" s="163"/>
    </row>
    <row r="3774" spans="4:8" ht="11.25" customHeight="1">
      <c r="D3774" s="163"/>
      <c r="E3774" s="163"/>
      <c r="F3774" s="163"/>
      <c r="G3774" s="163"/>
      <c r="H3774" s="163"/>
    </row>
    <row r="3775" spans="4:8" ht="11.25" customHeight="1">
      <c r="D3775" s="163"/>
      <c r="E3775" s="163"/>
      <c r="F3775" s="163"/>
      <c r="G3775" s="163"/>
      <c r="H3775" s="163"/>
    </row>
    <row r="3776" spans="4:8" ht="11.25" customHeight="1">
      <c r="D3776" s="163"/>
      <c r="E3776" s="163"/>
      <c r="F3776" s="163"/>
      <c r="G3776" s="163"/>
      <c r="H3776" s="163"/>
    </row>
    <row r="3777" spans="4:8" ht="11.25" customHeight="1">
      <c r="D3777" s="163"/>
      <c r="E3777" s="163"/>
      <c r="F3777" s="163"/>
      <c r="G3777" s="163"/>
      <c r="H3777" s="163"/>
    </row>
    <row r="3778" spans="4:8" ht="11.25" customHeight="1">
      <c r="D3778" s="163"/>
      <c r="E3778" s="163"/>
      <c r="F3778" s="163"/>
      <c r="G3778" s="163"/>
      <c r="H3778" s="163"/>
    </row>
    <row r="3779" spans="4:8" ht="11.25" customHeight="1">
      <c r="D3779" s="163"/>
      <c r="E3779" s="163"/>
      <c r="F3779" s="163"/>
      <c r="G3779" s="163"/>
      <c r="H3779" s="163"/>
    </row>
    <row r="3780" spans="4:8" ht="11.25" customHeight="1">
      <c r="D3780" s="163"/>
      <c r="E3780" s="163"/>
      <c r="F3780" s="163"/>
      <c r="G3780" s="163"/>
      <c r="H3780" s="163"/>
    </row>
    <row r="3781" spans="4:8" ht="11.25" customHeight="1">
      <c r="D3781" s="163"/>
      <c r="E3781" s="163"/>
      <c r="F3781" s="163"/>
      <c r="G3781" s="163"/>
      <c r="H3781" s="163"/>
    </row>
    <row r="3782" spans="4:8" ht="11.25" customHeight="1">
      <c r="D3782" s="163"/>
      <c r="E3782" s="163"/>
      <c r="F3782" s="163"/>
      <c r="G3782" s="163"/>
      <c r="H3782" s="163"/>
    </row>
    <row r="3783" spans="4:8" ht="11.25" customHeight="1">
      <c r="D3783" s="163"/>
      <c r="E3783" s="163"/>
      <c r="F3783" s="163"/>
      <c r="G3783" s="163"/>
      <c r="H3783" s="163"/>
    </row>
    <row r="3784" spans="4:8" ht="11.25" customHeight="1">
      <c r="D3784" s="163"/>
      <c r="E3784" s="163"/>
      <c r="F3784" s="163"/>
      <c r="G3784" s="163"/>
      <c r="H3784" s="163"/>
    </row>
    <row r="3785" spans="4:8" ht="11.25" customHeight="1">
      <c r="D3785" s="163"/>
      <c r="E3785" s="163"/>
      <c r="F3785" s="163"/>
      <c r="G3785" s="163"/>
      <c r="H3785" s="163"/>
    </row>
    <row r="3786" spans="4:8" ht="11.25" customHeight="1">
      <c r="D3786" s="163"/>
      <c r="E3786" s="163"/>
      <c r="F3786" s="163"/>
      <c r="G3786" s="163"/>
      <c r="H3786" s="163"/>
    </row>
    <row r="3787" spans="4:8" ht="11.25" customHeight="1">
      <c r="D3787" s="163"/>
      <c r="E3787" s="163"/>
      <c r="F3787" s="163"/>
      <c r="G3787" s="163"/>
      <c r="H3787" s="163"/>
    </row>
    <row r="3788" spans="4:8" ht="11.25" customHeight="1">
      <c r="D3788" s="163"/>
      <c r="E3788" s="163"/>
      <c r="F3788" s="163"/>
      <c r="G3788" s="163"/>
      <c r="H3788" s="163"/>
    </row>
    <row r="3789" spans="4:8" ht="11.25" customHeight="1">
      <c r="D3789" s="163"/>
      <c r="E3789" s="163"/>
      <c r="F3789" s="163"/>
      <c r="G3789" s="163"/>
      <c r="H3789" s="163"/>
    </row>
    <row r="3790" spans="4:8" ht="11.25" customHeight="1">
      <c r="D3790" s="163"/>
      <c r="E3790" s="163"/>
      <c r="F3790" s="163"/>
      <c r="G3790" s="163"/>
      <c r="H3790" s="163"/>
    </row>
    <row r="3791" spans="4:8" ht="11.25" customHeight="1">
      <c r="D3791" s="163"/>
      <c r="E3791" s="163"/>
      <c r="F3791" s="163"/>
      <c r="G3791" s="163"/>
      <c r="H3791" s="163"/>
    </row>
    <row r="3792" spans="4:8" ht="11.25" customHeight="1">
      <c r="D3792" s="163"/>
      <c r="E3792" s="163"/>
      <c r="F3792" s="163"/>
      <c r="G3792" s="163"/>
      <c r="H3792" s="163"/>
    </row>
    <row r="3793" spans="4:8" ht="11.25" customHeight="1">
      <c r="D3793" s="163"/>
      <c r="E3793" s="163"/>
      <c r="F3793" s="163"/>
      <c r="G3793" s="163"/>
      <c r="H3793" s="163"/>
    </row>
    <row r="3794" spans="4:8" ht="11.25" customHeight="1">
      <c r="D3794" s="163"/>
      <c r="E3794" s="163"/>
      <c r="F3794" s="163"/>
      <c r="G3794" s="163"/>
      <c r="H3794" s="163"/>
    </row>
    <row r="3795" spans="4:8" ht="11.25" customHeight="1">
      <c r="D3795" s="163"/>
      <c r="E3795" s="163"/>
      <c r="F3795" s="163"/>
      <c r="G3795" s="163"/>
      <c r="H3795" s="163"/>
    </row>
    <row r="3796" spans="4:8" ht="11.25" customHeight="1">
      <c r="D3796" s="163"/>
      <c r="E3796" s="163"/>
      <c r="F3796" s="163"/>
      <c r="G3796" s="163"/>
      <c r="H3796" s="163"/>
    </row>
    <row r="3797" spans="4:8" ht="11.25" customHeight="1">
      <c r="D3797" s="163"/>
      <c r="E3797" s="163"/>
      <c r="F3797" s="163"/>
      <c r="G3797" s="163"/>
      <c r="H3797" s="163"/>
    </row>
    <row r="3798" spans="4:8" ht="11.25" customHeight="1">
      <c r="D3798" s="163"/>
      <c r="E3798" s="163"/>
      <c r="F3798" s="163"/>
      <c r="G3798" s="163"/>
      <c r="H3798" s="163"/>
    </row>
    <row r="3799" spans="4:8" ht="11.25" customHeight="1">
      <c r="D3799" s="163"/>
      <c r="E3799" s="163"/>
      <c r="F3799" s="163"/>
      <c r="G3799" s="163"/>
      <c r="H3799" s="163"/>
    </row>
    <row r="3800" spans="4:8" ht="11.25" customHeight="1">
      <c r="D3800" s="163"/>
      <c r="E3800" s="163"/>
      <c r="F3800" s="163"/>
      <c r="G3800" s="163"/>
      <c r="H3800" s="163"/>
    </row>
    <row r="3801" spans="4:8" ht="11.25" customHeight="1">
      <c r="D3801" s="163"/>
      <c r="E3801" s="163"/>
      <c r="F3801" s="163"/>
      <c r="G3801" s="163"/>
      <c r="H3801" s="163"/>
    </row>
    <row r="3802" spans="4:8" ht="11.25" customHeight="1">
      <c r="D3802" s="163"/>
      <c r="E3802" s="163"/>
      <c r="F3802" s="163"/>
      <c r="G3802" s="163"/>
      <c r="H3802" s="163"/>
    </row>
    <row r="3803" spans="4:8" ht="11.25" customHeight="1">
      <c r="D3803" s="163"/>
      <c r="E3803" s="163"/>
      <c r="F3803" s="163"/>
      <c r="G3803" s="163"/>
      <c r="H3803" s="163"/>
    </row>
    <row r="3804" spans="4:8" ht="11.25" customHeight="1">
      <c r="D3804" s="163"/>
      <c r="E3804" s="163"/>
      <c r="F3804" s="163"/>
      <c r="G3804" s="163"/>
      <c r="H3804" s="163"/>
    </row>
    <row r="3805" spans="4:8" ht="11.25" customHeight="1">
      <c r="D3805" s="163"/>
      <c r="E3805" s="163"/>
      <c r="F3805" s="163"/>
      <c r="G3805" s="163"/>
      <c r="H3805" s="163"/>
    </row>
    <row r="3806" spans="4:8" ht="11.25" customHeight="1">
      <c r="D3806" s="163"/>
      <c r="E3806" s="163"/>
      <c r="F3806" s="163"/>
      <c r="G3806" s="163"/>
      <c r="H3806" s="163"/>
    </row>
    <row r="3807" spans="4:8" ht="11.25" customHeight="1">
      <c r="D3807" s="163"/>
      <c r="E3807" s="163"/>
      <c r="F3807" s="163"/>
      <c r="G3807" s="163"/>
      <c r="H3807" s="163"/>
    </row>
    <row r="3808" spans="4:8" ht="11.25" customHeight="1">
      <c r="D3808" s="163"/>
      <c r="E3808" s="163"/>
      <c r="F3808" s="163"/>
      <c r="G3808" s="163"/>
      <c r="H3808" s="163"/>
    </row>
    <row r="3809" spans="4:8" ht="11.25" customHeight="1">
      <c r="D3809" s="163"/>
      <c r="E3809" s="163"/>
      <c r="F3809" s="163"/>
      <c r="G3809" s="163"/>
      <c r="H3809" s="163"/>
    </row>
    <row r="3810" spans="4:8" ht="11.25" customHeight="1">
      <c r="D3810" s="163"/>
      <c r="E3810" s="163"/>
      <c r="F3810" s="163"/>
      <c r="G3810" s="163"/>
      <c r="H3810" s="163"/>
    </row>
    <row r="3811" spans="4:8" ht="11.25" customHeight="1">
      <c r="D3811" s="163"/>
      <c r="E3811" s="163"/>
      <c r="F3811" s="163"/>
      <c r="G3811" s="163"/>
      <c r="H3811" s="163"/>
    </row>
    <row r="3812" spans="4:8" ht="11.25" customHeight="1">
      <c r="D3812" s="163"/>
      <c r="E3812" s="163"/>
      <c r="F3812" s="163"/>
      <c r="G3812" s="163"/>
      <c r="H3812" s="163"/>
    </row>
    <row r="3813" spans="4:8" ht="11.25" customHeight="1">
      <c r="D3813" s="163"/>
      <c r="E3813" s="163"/>
      <c r="F3813" s="163"/>
      <c r="G3813" s="163"/>
      <c r="H3813" s="163"/>
    </row>
    <row r="3814" spans="4:8" ht="11.25" customHeight="1">
      <c r="D3814" s="163"/>
      <c r="E3814" s="163"/>
      <c r="F3814" s="163"/>
      <c r="G3814" s="163"/>
      <c r="H3814" s="163"/>
    </row>
    <row r="3815" spans="4:8" ht="11.25" customHeight="1">
      <c r="D3815" s="163"/>
      <c r="E3815" s="163"/>
      <c r="F3815" s="163"/>
      <c r="G3815" s="163"/>
      <c r="H3815" s="163"/>
    </row>
    <row r="3816" spans="4:8" ht="11.25" customHeight="1">
      <c r="D3816" s="163"/>
      <c r="E3816" s="163"/>
      <c r="F3816" s="163"/>
      <c r="G3816" s="163"/>
      <c r="H3816" s="163"/>
    </row>
    <row r="3817" spans="4:8" ht="11.25" customHeight="1">
      <c r="D3817" s="163"/>
      <c r="E3817" s="163"/>
      <c r="F3817" s="163"/>
      <c r="G3817" s="163"/>
      <c r="H3817" s="163"/>
    </row>
    <row r="3818" spans="4:8" ht="11.25" customHeight="1">
      <c r="D3818" s="163"/>
      <c r="E3818" s="163"/>
      <c r="F3818" s="163"/>
      <c r="G3818" s="163"/>
      <c r="H3818" s="163"/>
    </row>
    <row r="3819" spans="4:8" ht="11.25" customHeight="1">
      <c r="D3819" s="163"/>
      <c r="E3819" s="163"/>
      <c r="F3819" s="163"/>
      <c r="G3819" s="163"/>
      <c r="H3819" s="163"/>
    </row>
    <row r="3820" spans="4:8" ht="11.25" customHeight="1">
      <c r="D3820" s="163"/>
      <c r="E3820" s="163"/>
      <c r="F3820" s="163"/>
      <c r="G3820" s="163"/>
      <c r="H3820" s="163"/>
    </row>
    <row r="3821" spans="4:8" ht="11.25" customHeight="1">
      <c r="D3821" s="163"/>
      <c r="E3821" s="163"/>
      <c r="F3821" s="163"/>
      <c r="G3821" s="163"/>
      <c r="H3821" s="163"/>
    </row>
    <row r="3822" spans="4:8" ht="11.25" customHeight="1">
      <c r="D3822" s="163"/>
      <c r="E3822" s="163"/>
      <c r="F3822" s="163"/>
      <c r="G3822" s="163"/>
      <c r="H3822" s="163"/>
    </row>
    <row r="3823" spans="4:8" ht="11.25" customHeight="1">
      <c r="D3823" s="163"/>
      <c r="E3823" s="163"/>
      <c r="F3823" s="163"/>
      <c r="G3823" s="163"/>
      <c r="H3823" s="163"/>
    </row>
    <row r="3824" spans="4:8" ht="11.25" customHeight="1">
      <c r="D3824" s="163"/>
      <c r="E3824" s="163"/>
      <c r="F3824" s="163"/>
      <c r="G3824" s="163"/>
      <c r="H3824" s="163"/>
    </row>
    <row r="3825" spans="4:8" ht="11.25" customHeight="1">
      <c r="D3825" s="163"/>
      <c r="E3825" s="163"/>
      <c r="F3825" s="163"/>
      <c r="G3825" s="163"/>
      <c r="H3825" s="163"/>
    </row>
    <row r="3826" spans="4:8" ht="11.25" customHeight="1">
      <c r="D3826" s="163"/>
      <c r="E3826" s="163"/>
      <c r="F3826" s="163"/>
      <c r="G3826" s="163"/>
      <c r="H3826" s="163"/>
    </row>
    <row r="3827" spans="4:8" ht="11.25" customHeight="1">
      <c r="D3827" s="163"/>
      <c r="E3827" s="163"/>
      <c r="F3827" s="163"/>
      <c r="G3827" s="163"/>
      <c r="H3827" s="163"/>
    </row>
    <row r="3828" spans="4:8" ht="11.25" customHeight="1">
      <c r="D3828" s="163"/>
      <c r="E3828" s="163"/>
      <c r="F3828" s="163"/>
      <c r="G3828" s="163"/>
      <c r="H3828" s="163"/>
    </row>
    <row r="3829" spans="4:8" ht="11.25" customHeight="1">
      <c r="D3829" s="163"/>
      <c r="E3829" s="163"/>
      <c r="F3829" s="163"/>
      <c r="G3829" s="163"/>
      <c r="H3829" s="163"/>
    </row>
    <row r="3830" spans="4:8" ht="11.25" customHeight="1">
      <c r="D3830" s="163"/>
      <c r="E3830" s="163"/>
      <c r="F3830" s="163"/>
      <c r="G3830" s="163"/>
      <c r="H3830" s="163"/>
    </row>
    <row r="3831" spans="4:8" ht="11.25" customHeight="1">
      <c r="D3831" s="163"/>
      <c r="E3831" s="163"/>
      <c r="F3831" s="163"/>
      <c r="G3831" s="163"/>
      <c r="H3831" s="163"/>
    </row>
    <row r="3832" spans="4:8" ht="11.25" customHeight="1">
      <c r="D3832" s="163"/>
      <c r="E3832" s="163"/>
      <c r="F3832" s="163"/>
      <c r="G3832" s="163"/>
      <c r="H3832" s="163"/>
    </row>
    <row r="3833" spans="4:8" ht="11.25" customHeight="1">
      <c r="D3833" s="163"/>
      <c r="E3833" s="163"/>
      <c r="F3833" s="163"/>
      <c r="G3833" s="163"/>
      <c r="H3833" s="163"/>
    </row>
    <row r="3834" spans="4:8" ht="11.25" customHeight="1">
      <c r="D3834" s="163"/>
      <c r="E3834" s="163"/>
      <c r="F3834" s="163"/>
      <c r="G3834" s="163"/>
      <c r="H3834" s="163"/>
    </row>
    <row r="3835" spans="4:8" ht="11.25" customHeight="1">
      <c r="D3835" s="163"/>
      <c r="E3835" s="163"/>
      <c r="F3835" s="163"/>
      <c r="G3835" s="163"/>
      <c r="H3835" s="163"/>
    </row>
    <row r="3836" spans="4:8" ht="11.25" customHeight="1">
      <c r="D3836" s="163"/>
      <c r="E3836" s="163"/>
      <c r="F3836" s="163"/>
      <c r="G3836" s="163"/>
      <c r="H3836" s="163"/>
    </row>
    <row r="3837" spans="4:8" ht="11.25" customHeight="1">
      <c r="D3837" s="163"/>
      <c r="E3837" s="163"/>
      <c r="F3837" s="163"/>
      <c r="G3837" s="163"/>
      <c r="H3837" s="163"/>
    </row>
    <row r="3838" spans="4:8" ht="11.25" customHeight="1">
      <c r="D3838" s="163"/>
      <c r="E3838" s="163"/>
      <c r="F3838" s="163"/>
      <c r="G3838" s="163"/>
      <c r="H3838" s="163"/>
    </row>
    <row r="3839" spans="4:8" ht="11.25" customHeight="1">
      <c r="D3839" s="163"/>
      <c r="E3839" s="163"/>
      <c r="F3839" s="163"/>
      <c r="G3839" s="163"/>
      <c r="H3839" s="163"/>
    </row>
    <row r="3840" spans="4:8" ht="11.25" customHeight="1">
      <c r="D3840" s="163"/>
      <c r="E3840" s="163"/>
      <c r="F3840" s="163"/>
      <c r="G3840" s="163"/>
      <c r="H3840" s="163"/>
    </row>
    <row r="3841" spans="4:8" ht="11.25" customHeight="1">
      <c r="D3841" s="163"/>
      <c r="E3841" s="163"/>
      <c r="F3841" s="163"/>
      <c r="G3841" s="163"/>
      <c r="H3841" s="163"/>
    </row>
    <row r="3842" spans="4:8" ht="11.25" customHeight="1">
      <c r="D3842" s="163"/>
      <c r="E3842" s="163"/>
      <c r="F3842" s="163"/>
      <c r="G3842" s="163"/>
      <c r="H3842" s="163"/>
    </row>
    <row r="3843" spans="4:8" ht="11.25" customHeight="1">
      <c r="D3843" s="163"/>
      <c r="E3843" s="163"/>
      <c r="F3843" s="163"/>
      <c r="G3843" s="163"/>
      <c r="H3843" s="163"/>
    </row>
    <row r="3844" spans="4:8" ht="11.25" customHeight="1">
      <c r="D3844" s="163"/>
      <c r="E3844" s="163"/>
      <c r="F3844" s="163"/>
      <c r="G3844" s="163"/>
      <c r="H3844" s="163"/>
    </row>
    <row r="3845" spans="4:8" ht="11.25" customHeight="1">
      <c r="D3845" s="163"/>
      <c r="E3845" s="163"/>
      <c r="F3845" s="163"/>
      <c r="G3845" s="163"/>
      <c r="H3845" s="163"/>
    </row>
    <row r="3846" spans="4:8" ht="11.25" customHeight="1">
      <c r="D3846" s="163"/>
      <c r="E3846" s="163"/>
      <c r="F3846" s="163"/>
      <c r="G3846" s="163"/>
      <c r="H3846" s="163"/>
    </row>
    <row r="3847" spans="4:8" ht="11.25" customHeight="1">
      <c r="D3847" s="163"/>
      <c r="E3847" s="163"/>
      <c r="F3847" s="163"/>
      <c r="G3847" s="163"/>
      <c r="H3847" s="163"/>
    </row>
    <row r="3848" spans="4:8" ht="11.25" customHeight="1">
      <c r="D3848" s="163"/>
      <c r="E3848" s="163"/>
      <c r="F3848" s="163"/>
      <c r="G3848" s="163"/>
      <c r="H3848" s="163"/>
    </row>
    <row r="3849" spans="4:8" ht="11.25" customHeight="1">
      <c r="D3849" s="163"/>
      <c r="E3849" s="163"/>
      <c r="F3849" s="163"/>
      <c r="G3849" s="163"/>
      <c r="H3849" s="163"/>
    </row>
    <row r="3850" spans="4:8" ht="11.25" customHeight="1">
      <c r="D3850" s="163"/>
      <c r="E3850" s="163"/>
      <c r="F3850" s="163"/>
      <c r="G3850" s="163"/>
      <c r="H3850" s="163"/>
    </row>
    <row r="3851" spans="4:8" ht="11.25" customHeight="1">
      <c r="D3851" s="163"/>
      <c r="E3851" s="163"/>
      <c r="F3851" s="163"/>
      <c r="G3851" s="163"/>
      <c r="H3851" s="163"/>
    </row>
    <row r="3852" spans="4:8" ht="11.25" customHeight="1">
      <c r="D3852" s="163"/>
      <c r="E3852" s="163"/>
      <c r="F3852" s="163"/>
      <c r="G3852" s="163"/>
      <c r="H3852" s="163"/>
    </row>
    <row r="3853" spans="4:8" ht="11.25" customHeight="1">
      <c r="D3853" s="163"/>
      <c r="E3853" s="163"/>
      <c r="F3853" s="163"/>
      <c r="G3853" s="163"/>
      <c r="H3853" s="163"/>
    </row>
    <row r="3854" spans="4:8" ht="11.25" customHeight="1">
      <c r="D3854" s="163"/>
      <c r="E3854" s="163"/>
      <c r="F3854" s="163"/>
      <c r="G3854" s="163"/>
      <c r="H3854" s="163"/>
    </row>
    <row r="3855" spans="4:8" ht="11.25" customHeight="1">
      <c r="D3855" s="163"/>
      <c r="E3855" s="163"/>
      <c r="F3855" s="163"/>
      <c r="G3855" s="163"/>
      <c r="H3855" s="163"/>
    </row>
    <row r="3856" spans="4:8" ht="11.25" customHeight="1">
      <c r="D3856" s="163"/>
      <c r="E3856" s="163"/>
      <c r="F3856" s="163"/>
      <c r="G3856" s="163"/>
      <c r="H3856" s="163"/>
    </row>
    <row r="3857" spans="4:8" ht="11.25" customHeight="1">
      <c r="D3857" s="163"/>
      <c r="E3857" s="163"/>
      <c r="F3857" s="163"/>
      <c r="G3857" s="163"/>
      <c r="H3857" s="163"/>
    </row>
    <row r="3858" spans="4:8" ht="11.25" customHeight="1">
      <c r="D3858" s="163"/>
      <c r="E3858" s="163"/>
      <c r="F3858" s="163"/>
      <c r="G3858" s="163"/>
      <c r="H3858" s="163"/>
    </row>
    <row r="3859" spans="4:8" ht="11.25" customHeight="1">
      <c r="D3859" s="163"/>
      <c r="E3859" s="163"/>
      <c r="F3859" s="163"/>
      <c r="G3859" s="163"/>
      <c r="H3859" s="163"/>
    </row>
    <row r="3860" spans="4:8" ht="11.25" customHeight="1">
      <c r="D3860" s="163"/>
      <c r="E3860" s="163"/>
      <c r="F3860" s="163"/>
      <c r="G3860" s="163"/>
      <c r="H3860" s="163"/>
    </row>
    <row r="3861" spans="4:8" ht="11.25" customHeight="1">
      <c r="D3861" s="163"/>
      <c r="E3861" s="163"/>
      <c r="F3861" s="163"/>
      <c r="G3861" s="163"/>
      <c r="H3861" s="163"/>
    </row>
    <row r="3862" spans="4:8" ht="11.25" customHeight="1">
      <c r="D3862" s="163"/>
      <c r="E3862" s="163"/>
      <c r="F3862" s="163"/>
      <c r="G3862" s="163"/>
      <c r="H3862" s="163"/>
    </row>
    <row r="3863" spans="4:8" ht="11.25" customHeight="1">
      <c r="D3863" s="163"/>
      <c r="E3863" s="163"/>
      <c r="F3863" s="163"/>
      <c r="G3863" s="163"/>
      <c r="H3863" s="163"/>
    </row>
    <row r="3864" spans="4:8" ht="11.25" customHeight="1">
      <c r="D3864" s="163"/>
      <c r="E3864" s="163"/>
      <c r="F3864" s="163"/>
      <c r="G3864" s="163"/>
      <c r="H3864" s="163"/>
    </row>
    <row r="3865" spans="4:8" ht="11.25" customHeight="1">
      <c r="D3865" s="163"/>
      <c r="E3865" s="163"/>
      <c r="F3865" s="163"/>
      <c r="G3865" s="163"/>
      <c r="H3865" s="163"/>
    </row>
    <row r="3866" spans="4:8" ht="11.25" customHeight="1">
      <c r="D3866" s="163"/>
      <c r="E3866" s="163"/>
      <c r="F3866" s="163"/>
      <c r="G3866" s="163"/>
      <c r="H3866" s="163"/>
    </row>
    <row r="3867" spans="4:8" ht="11.25" customHeight="1">
      <c r="D3867" s="163"/>
      <c r="E3867" s="163"/>
      <c r="F3867" s="163"/>
      <c r="G3867" s="163"/>
      <c r="H3867" s="163"/>
    </row>
    <row r="3868" spans="4:8" ht="11.25" customHeight="1">
      <c r="D3868" s="163"/>
      <c r="E3868" s="163"/>
      <c r="F3868" s="163"/>
      <c r="G3868" s="163"/>
      <c r="H3868" s="163"/>
    </row>
    <row r="3869" spans="4:8" ht="11.25" customHeight="1">
      <c r="D3869" s="163"/>
      <c r="E3869" s="163"/>
      <c r="F3869" s="163"/>
      <c r="G3869" s="163"/>
      <c r="H3869" s="163"/>
    </row>
    <row r="3870" spans="4:8" ht="11.25" customHeight="1">
      <c r="D3870" s="163"/>
      <c r="E3870" s="163"/>
      <c r="F3870" s="163"/>
      <c r="G3870" s="163"/>
      <c r="H3870" s="163"/>
    </row>
    <row r="3871" spans="4:8" ht="11.25" customHeight="1">
      <c r="D3871" s="163"/>
      <c r="E3871" s="163"/>
      <c r="F3871" s="163"/>
      <c r="G3871" s="163"/>
      <c r="H3871" s="163"/>
    </row>
    <row r="3872" spans="4:8" ht="11.25" customHeight="1">
      <c r="D3872" s="163"/>
      <c r="E3872" s="163"/>
      <c r="F3872" s="163"/>
      <c r="G3872" s="163"/>
      <c r="H3872" s="163"/>
    </row>
    <row r="3873" spans="4:8" ht="11.25" customHeight="1">
      <c r="D3873" s="163"/>
      <c r="E3873" s="163"/>
      <c r="F3873" s="163"/>
      <c r="G3873" s="163"/>
      <c r="H3873" s="163"/>
    </row>
    <row r="3874" spans="4:8" ht="11.25" customHeight="1">
      <c r="D3874" s="163"/>
      <c r="E3874" s="163"/>
      <c r="F3874" s="163"/>
      <c r="G3874" s="163"/>
      <c r="H3874" s="163"/>
    </row>
    <row r="3875" spans="4:8" ht="11.25" customHeight="1">
      <c r="D3875" s="163"/>
      <c r="E3875" s="163"/>
      <c r="F3875" s="163"/>
      <c r="G3875" s="163"/>
      <c r="H3875" s="163"/>
    </row>
    <row r="3876" spans="4:8" ht="11.25" customHeight="1">
      <c r="D3876" s="163"/>
      <c r="E3876" s="163"/>
      <c r="F3876" s="163"/>
      <c r="G3876" s="163"/>
      <c r="H3876" s="163"/>
    </row>
    <row r="3877" spans="4:8" ht="11.25" customHeight="1">
      <c r="D3877" s="163"/>
      <c r="E3877" s="163"/>
      <c r="F3877" s="163"/>
      <c r="G3877" s="163"/>
      <c r="H3877" s="163"/>
    </row>
    <row r="3878" spans="4:8" ht="11.25" customHeight="1">
      <c r="D3878" s="163"/>
      <c r="E3878" s="163"/>
      <c r="F3878" s="163"/>
      <c r="G3878" s="163"/>
      <c r="H3878" s="163"/>
    </row>
    <row r="3879" spans="4:8" ht="11.25" customHeight="1">
      <c r="D3879" s="163"/>
      <c r="E3879" s="163"/>
      <c r="F3879" s="163"/>
      <c r="G3879" s="163"/>
      <c r="H3879" s="163"/>
    </row>
    <row r="3880" spans="4:8" ht="11.25" customHeight="1">
      <c r="D3880" s="163"/>
      <c r="E3880" s="163"/>
      <c r="F3880" s="163"/>
      <c r="G3880" s="163"/>
      <c r="H3880" s="163"/>
    </row>
    <row r="3881" spans="4:8" ht="11.25" customHeight="1">
      <c r="D3881" s="163"/>
      <c r="E3881" s="163"/>
      <c r="F3881" s="163"/>
      <c r="G3881" s="163"/>
      <c r="H3881" s="163"/>
    </row>
    <row r="3882" spans="4:8" ht="11.25" customHeight="1">
      <c r="D3882" s="163"/>
      <c r="E3882" s="163"/>
      <c r="F3882" s="163"/>
      <c r="G3882" s="163"/>
      <c r="H3882" s="163"/>
    </row>
    <row r="3883" spans="4:8" ht="11.25" customHeight="1">
      <c r="D3883" s="163"/>
      <c r="E3883" s="163"/>
      <c r="F3883" s="163"/>
      <c r="G3883" s="163"/>
      <c r="H3883" s="163"/>
    </row>
    <row r="3884" spans="4:8" ht="11.25" customHeight="1">
      <c r="D3884" s="163"/>
      <c r="E3884" s="163"/>
      <c r="F3884" s="163"/>
      <c r="G3884" s="163"/>
      <c r="H3884" s="163"/>
    </row>
    <row r="3885" spans="4:8" ht="11.25" customHeight="1">
      <c r="D3885" s="163"/>
      <c r="E3885" s="163"/>
      <c r="F3885" s="163"/>
      <c r="G3885" s="163"/>
      <c r="H3885" s="163"/>
    </row>
    <row r="3886" spans="4:8" ht="11.25" customHeight="1">
      <c r="D3886" s="163"/>
      <c r="E3886" s="163"/>
      <c r="F3886" s="163"/>
      <c r="G3886" s="163"/>
      <c r="H3886" s="163"/>
    </row>
    <row r="3887" spans="4:8" ht="11.25" customHeight="1">
      <c r="D3887" s="163"/>
      <c r="E3887" s="163"/>
      <c r="F3887" s="163"/>
      <c r="G3887" s="163"/>
      <c r="H3887" s="163"/>
    </row>
    <row r="3888" spans="4:8" ht="11.25" customHeight="1">
      <c r="D3888" s="163"/>
      <c r="E3888" s="163"/>
      <c r="F3888" s="163"/>
      <c r="G3888" s="163"/>
      <c r="H3888" s="163"/>
    </row>
    <row r="3889" spans="4:8" ht="11.25" customHeight="1">
      <c r="D3889" s="163"/>
      <c r="E3889" s="163"/>
      <c r="F3889" s="163"/>
      <c r="G3889" s="163"/>
      <c r="H3889" s="163"/>
    </row>
    <row r="3890" spans="4:8" ht="11.25" customHeight="1">
      <c r="D3890" s="163"/>
      <c r="E3890" s="163"/>
      <c r="F3890" s="163"/>
      <c r="G3890" s="163"/>
      <c r="H3890" s="163"/>
    </row>
    <row r="3891" spans="4:8" ht="11.25" customHeight="1">
      <c r="D3891" s="163"/>
      <c r="E3891" s="163"/>
      <c r="F3891" s="163"/>
      <c r="G3891" s="163"/>
      <c r="H3891" s="163"/>
    </row>
    <row r="3892" spans="4:8" ht="11.25" customHeight="1">
      <c r="D3892" s="163"/>
      <c r="E3892" s="163"/>
      <c r="F3892" s="163"/>
      <c r="G3892" s="163"/>
      <c r="H3892" s="163"/>
    </row>
    <row r="3893" spans="4:8" ht="11.25" customHeight="1">
      <c r="D3893" s="163"/>
      <c r="E3893" s="163"/>
      <c r="F3893" s="163"/>
      <c r="G3893" s="163"/>
      <c r="H3893" s="163"/>
    </row>
    <row r="3894" spans="4:8" ht="11.25" customHeight="1">
      <c r="D3894" s="163"/>
      <c r="E3894" s="163"/>
      <c r="F3894" s="163"/>
      <c r="G3894" s="163"/>
      <c r="H3894" s="163"/>
    </row>
    <row r="3895" spans="4:8" ht="11.25" customHeight="1">
      <c r="D3895" s="163"/>
      <c r="E3895" s="163"/>
      <c r="F3895" s="163"/>
      <c r="G3895" s="163"/>
      <c r="H3895" s="163"/>
    </row>
    <row r="3896" spans="4:8" ht="11.25" customHeight="1">
      <c r="D3896" s="163"/>
      <c r="E3896" s="163"/>
      <c r="F3896" s="163"/>
      <c r="G3896" s="163"/>
      <c r="H3896" s="163"/>
    </row>
    <row r="3897" spans="4:8" ht="11.25" customHeight="1">
      <c r="D3897" s="163"/>
      <c r="E3897" s="163"/>
      <c r="F3897" s="163"/>
      <c r="G3897" s="163"/>
      <c r="H3897" s="163"/>
    </row>
    <row r="3898" spans="4:8" ht="11.25" customHeight="1">
      <c r="D3898" s="163"/>
      <c r="E3898" s="163"/>
      <c r="F3898" s="163"/>
      <c r="G3898" s="163"/>
      <c r="H3898" s="163"/>
    </row>
    <row r="3899" spans="4:8" ht="11.25" customHeight="1">
      <c r="D3899" s="163"/>
      <c r="E3899" s="163"/>
      <c r="F3899" s="163"/>
      <c r="G3899" s="163"/>
      <c r="H3899" s="163"/>
    </row>
    <row r="3900" spans="4:8" ht="11.25" customHeight="1">
      <c r="D3900" s="163"/>
      <c r="E3900" s="163"/>
      <c r="F3900" s="163"/>
      <c r="G3900" s="163"/>
      <c r="H3900" s="163"/>
    </row>
    <row r="3901" spans="4:8" ht="11.25" customHeight="1">
      <c r="D3901" s="163"/>
      <c r="E3901" s="163"/>
      <c r="F3901" s="163"/>
      <c r="G3901" s="163"/>
      <c r="H3901" s="163"/>
    </row>
    <row r="3902" spans="4:8" ht="11.25" customHeight="1">
      <c r="D3902" s="163"/>
      <c r="E3902" s="163"/>
      <c r="F3902" s="163"/>
      <c r="G3902" s="163"/>
      <c r="H3902" s="163"/>
    </row>
    <row r="3903" spans="4:8" ht="11.25" customHeight="1">
      <c r="D3903" s="163"/>
      <c r="E3903" s="163"/>
      <c r="F3903" s="163"/>
      <c r="G3903" s="163"/>
      <c r="H3903" s="163"/>
    </row>
    <row r="3904" spans="4:8" ht="11.25" customHeight="1">
      <c r="D3904" s="163"/>
      <c r="E3904" s="163"/>
      <c r="F3904" s="163"/>
      <c r="G3904" s="163"/>
      <c r="H3904" s="163"/>
    </row>
    <row r="3905" spans="4:8" ht="11.25" customHeight="1">
      <c r="D3905" s="163"/>
      <c r="E3905" s="163"/>
      <c r="F3905" s="163"/>
      <c r="G3905" s="163"/>
      <c r="H3905" s="163"/>
    </row>
    <row r="3906" spans="4:8" ht="11.25" customHeight="1">
      <c r="D3906" s="163"/>
      <c r="E3906" s="163"/>
      <c r="F3906" s="163"/>
      <c r="G3906" s="163"/>
      <c r="H3906" s="163"/>
    </row>
    <row r="3907" spans="4:8" ht="11.25" customHeight="1">
      <c r="D3907" s="163"/>
      <c r="E3907" s="163"/>
      <c r="F3907" s="163"/>
      <c r="G3907" s="163"/>
      <c r="H3907" s="163"/>
    </row>
    <row r="3908" spans="4:8" ht="11.25" customHeight="1">
      <c r="D3908" s="163"/>
      <c r="E3908" s="163"/>
      <c r="F3908" s="163"/>
      <c r="G3908" s="163"/>
      <c r="H3908" s="163"/>
    </row>
    <row r="3909" spans="4:8" ht="11.25" customHeight="1">
      <c r="D3909" s="163"/>
      <c r="E3909" s="163"/>
      <c r="F3909" s="163"/>
      <c r="G3909" s="163"/>
      <c r="H3909" s="163"/>
    </row>
    <row r="3910" spans="4:8" ht="11.25" customHeight="1">
      <c r="D3910" s="163"/>
      <c r="E3910" s="163"/>
      <c r="F3910" s="163"/>
      <c r="G3910" s="163"/>
      <c r="H3910" s="163"/>
    </row>
    <row r="3911" spans="4:8" ht="11.25" customHeight="1">
      <c r="D3911" s="163"/>
      <c r="E3911" s="163"/>
      <c r="F3911" s="163"/>
      <c r="G3911" s="163"/>
      <c r="H3911" s="163"/>
    </row>
    <row r="3912" spans="4:8" ht="11.25" customHeight="1">
      <c r="D3912" s="163"/>
      <c r="E3912" s="163"/>
      <c r="F3912" s="163"/>
      <c r="G3912" s="163"/>
      <c r="H3912" s="163"/>
    </row>
    <row r="3913" spans="4:8" ht="11.25" customHeight="1">
      <c r="D3913" s="163"/>
      <c r="E3913" s="163"/>
      <c r="F3913" s="163"/>
      <c r="G3913" s="163"/>
      <c r="H3913" s="163"/>
    </row>
    <row r="3914" spans="4:8" ht="11.25" customHeight="1">
      <c r="D3914" s="163"/>
      <c r="E3914" s="163"/>
      <c r="F3914" s="163"/>
      <c r="G3914" s="163"/>
      <c r="H3914" s="163"/>
    </row>
    <row r="3915" spans="4:8" ht="11.25" customHeight="1">
      <c r="D3915" s="163"/>
      <c r="E3915" s="163"/>
      <c r="F3915" s="163"/>
      <c r="G3915" s="163"/>
      <c r="H3915" s="163"/>
    </row>
    <row r="3916" spans="4:8" ht="11.25" customHeight="1">
      <c r="D3916" s="163"/>
      <c r="E3916" s="163"/>
      <c r="F3916" s="163"/>
      <c r="G3916" s="163"/>
      <c r="H3916" s="163"/>
    </row>
    <row r="3917" spans="4:8" ht="11.25" customHeight="1">
      <c r="D3917" s="163"/>
      <c r="E3917" s="163"/>
      <c r="F3917" s="163"/>
      <c r="G3917" s="163"/>
      <c r="H3917" s="163"/>
    </row>
    <row r="3918" spans="4:8" ht="11.25" customHeight="1">
      <c r="D3918" s="163"/>
      <c r="E3918" s="163"/>
      <c r="F3918" s="163"/>
      <c r="G3918" s="163"/>
      <c r="H3918" s="163"/>
    </row>
    <row r="3919" spans="4:8" ht="11.25" customHeight="1">
      <c r="D3919" s="163"/>
      <c r="E3919" s="163"/>
      <c r="F3919" s="163"/>
      <c r="G3919" s="163"/>
      <c r="H3919" s="163"/>
    </row>
    <row r="3920" spans="4:8" ht="11.25" customHeight="1">
      <c r="D3920" s="163"/>
      <c r="E3920" s="163"/>
      <c r="F3920" s="163"/>
      <c r="G3920" s="163"/>
      <c r="H3920" s="163"/>
    </row>
    <row r="3921" spans="4:8" ht="11.25" customHeight="1">
      <c r="D3921" s="163"/>
      <c r="E3921" s="163"/>
      <c r="F3921" s="163"/>
      <c r="G3921" s="163"/>
      <c r="H3921" s="163"/>
    </row>
    <row r="3922" spans="4:8" ht="11.25" customHeight="1">
      <c r="D3922" s="163"/>
      <c r="E3922" s="163"/>
      <c r="F3922" s="163"/>
      <c r="G3922" s="163"/>
      <c r="H3922" s="163"/>
    </row>
    <row r="3923" spans="4:8" ht="11.25" customHeight="1">
      <c r="D3923" s="163"/>
      <c r="E3923" s="163"/>
      <c r="F3923" s="163"/>
      <c r="G3923" s="163"/>
      <c r="H3923" s="163"/>
    </row>
    <row r="3924" spans="4:8" ht="11.25" customHeight="1">
      <c r="D3924" s="163"/>
      <c r="E3924" s="163"/>
      <c r="F3924" s="163"/>
      <c r="G3924" s="163"/>
      <c r="H3924" s="163"/>
    </row>
    <row r="3925" spans="4:8" ht="11.25" customHeight="1">
      <c r="D3925" s="163"/>
      <c r="E3925" s="163"/>
      <c r="F3925" s="163"/>
      <c r="G3925" s="163"/>
      <c r="H3925" s="163"/>
    </row>
    <row r="3926" spans="4:8" ht="11.25" customHeight="1">
      <c r="D3926" s="163"/>
      <c r="E3926" s="163"/>
      <c r="F3926" s="163"/>
      <c r="G3926" s="163"/>
      <c r="H3926" s="163"/>
    </row>
    <row r="3927" spans="4:8" ht="11.25" customHeight="1">
      <c r="D3927" s="163"/>
      <c r="E3927" s="163"/>
      <c r="F3927" s="163"/>
      <c r="G3927" s="163"/>
      <c r="H3927" s="163"/>
    </row>
    <row r="3928" spans="4:8" ht="11.25" customHeight="1">
      <c r="D3928" s="163"/>
      <c r="E3928" s="163"/>
      <c r="F3928" s="163"/>
      <c r="G3928" s="163"/>
      <c r="H3928" s="163"/>
    </row>
    <row r="3929" spans="4:8" ht="11.25" customHeight="1">
      <c r="D3929" s="163"/>
      <c r="E3929" s="163"/>
      <c r="F3929" s="163"/>
      <c r="G3929" s="163"/>
      <c r="H3929" s="163"/>
    </row>
    <row r="3930" spans="4:8" ht="11.25" customHeight="1">
      <c r="D3930" s="163"/>
      <c r="E3930" s="163"/>
      <c r="F3930" s="163"/>
      <c r="G3930" s="163"/>
      <c r="H3930" s="163"/>
    </row>
    <row r="3931" spans="4:8" ht="11.25" customHeight="1">
      <c r="D3931" s="163"/>
      <c r="E3931" s="163"/>
      <c r="F3931" s="163"/>
      <c r="G3931" s="163"/>
      <c r="H3931" s="163"/>
    </row>
    <row r="3932" spans="4:8" ht="11.25" customHeight="1">
      <c r="D3932" s="163"/>
      <c r="E3932" s="163"/>
      <c r="F3932" s="163"/>
      <c r="G3932" s="163"/>
      <c r="H3932" s="163"/>
    </row>
    <row r="3933" spans="4:8" ht="11.25" customHeight="1">
      <c r="D3933" s="163"/>
      <c r="E3933" s="163"/>
      <c r="F3933" s="163"/>
      <c r="G3933" s="163"/>
      <c r="H3933" s="163"/>
    </row>
    <row r="3934" spans="4:8" ht="11.25" customHeight="1">
      <c r="D3934" s="163"/>
      <c r="E3934" s="163"/>
      <c r="F3934" s="163"/>
      <c r="G3934" s="163"/>
      <c r="H3934" s="163"/>
    </row>
    <row r="3935" spans="4:8" ht="11.25" customHeight="1">
      <c r="D3935" s="163"/>
      <c r="E3935" s="163"/>
      <c r="F3935" s="163"/>
      <c r="G3935" s="163"/>
      <c r="H3935" s="163"/>
    </row>
    <row r="3936" spans="4:8" ht="11.25" customHeight="1">
      <c r="D3936" s="163"/>
      <c r="E3936" s="163"/>
      <c r="F3936" s="163"/>
      <c r="G3936" s="163"/>
      <c r="H3936" s="163"/>
    </row>
    <row r="3937" spans="4:8" ht="11.25" customHeight="1">
      <c r="D3937" s="163"/>
      <c r="E3937" s="163"/>
      <c r="F3937" s="163"/>
      <c r="G3937" s="163"/>
      <c r="H3937" s="163"/>
    </row>
    <row r="3938" spans="4:8" ht="11.25" customHeight="1">
      <c r="D3938" s="163"/>
      <c r="E3938" s="163"/>
      <c r="F3938" s="163"/>
      <c r="G3938" s="163"/>
      <c r="H3938" s="163"/>
    </row>
    <row r="3939" spans="4:8" ht="11.25" customHeight="1">
      <c r="D3939" s="163"/>
      <c r="E3939" s="163"/>
      <c r="F3939" s="163"/>
      <c r="G3939" s="163"/>
      <c r="H3939" s="163"/>
    </row>
    <row r="3940" spans="4:8" ht="11.25" customHeight="1">
      <c r="D3940" s="163"/>
      <c r="E3940" s="163"/>
      <c r="F3940" s="163"/>
      <c r="G3940" s="163"/>
      <c r="H3940" s="163"/>
    </row>
    <row r="3941" spans="4:8" ht="11.25" customHeight="1">
      <c r="D3941" s="163"/>
      <c r="E3941" s="163"/>
      <c r="F3941" s="163"/>
      <c r="G3941" s="163"/>
      <c r="H3941" s="163"/>
    </row>
    <row r="3942" spans="4:8" ht="11.25" customHeight="1">
      <c r="D3942" s="163"/>
      <c r="E3942" s="163"/>
      <c r="F3942" s="163"/>
      <c r="G3942" s="163"/>
      <c r="H3942" s="163"/>
    </row>
    <row r="3943" spans="4:8" ht="11.25" customHeight="1">
      <c r="D3943" s="163"/>
      <c r="E3943" s="163"/>
      <c r="F3943" s="163"/>
      <c r="G3943" s="163"/>
      <c r="H3943" s="163"/>
    </row>
    <row r="3944" spans="4:8" ht="11.25" customHeight="1">
      <c r="D3944" s="163"/>
      <c r="E3944" s="163"/>
      <c r="F3944" s="163"/>
      <c r="G3944" s="163"/>
      <c r="H3944" s="163"/>
    </row>
    <row r="3945" spans="4:8" ht="11.25" customHeight="1">
      <c r="D3945" s="163"/>
      <c r="E3945" s="163"/>
      <c r="F3945" s="163"/>
      <c r="G3945" s="163"/>
      <c r="H3945" s="163"/>
    </row>
    <row r="3946" spans="4:8" ht="11.25" customHeight="1">
      <c r="D3946" s="163"/>
      <c r="E3946" s="163"/>
      <c r="F3946" s="163"/>
      <c r="G3946" s="163"/>
      <c r="H3946" s="163"/>
    </row>
    <row r="3947" spans="4:8" ht="11.25" customHeight="1">
      <c r="D3947" s="163"/>
      <c r="E3947" s="163"/>
      <c r="F3947" s="163"/>
      <c r="G3947" s="163"/>
      <c r="H3947" s="163"/>
    </row>
    <row r="3948" spans="4:8" ht="11.25" customHeight="1">
      <c r="D3948" s="163"/>
      <c r="E3948" s="163"/>
      <c r="F3948" s="163"/>
      <c r="G3948" s="163"/>
      <c r="H3948" s="163"/>
    </row>
    <row r="3949" spans="4:8" ht="11.25" customHeight="1">
      <c r="D3949" s="163"/>
      <c r="E3949" s="163"/>
      <c r="F3949" s="163"/>
      <c r="G3949" s="163"/>
      <c r="H3949" s="163"/>
    </row>
    <row r="3950" spans="4:8" ht="11.25" customHeight="1">
      <c r="D3950" s="163"/>
      <c r="E3950" s="163"/>
      <c r="F3950" s="163"/>
      <c r="G3950" s="163"/>
      <c r="H3950" s="163"/>
    </row>
    <row r="3951" spans="4:8" ht="11.25" customHeight="1">
      <c r="D3951" s="163"/>
      <c r="E3951" s="163"/>
      <c r="F3951" s="163"/>
      <c r="G3951" s="163"/>
      <c r="H3951" s="163"/>
    </row>
    <row r="3952" spans="4:8" ht="11.25" customHeight="1">
      <c r="D3952" s="163"/>
      <c r="E3952" s="163"/>
      <c r="F3952" s="163"/>
      <c r="G3952" s="163"/>
      <c r="H3952" s="163"/>
    </row>
    <row r="3953" spans="4:8" ht="11.25" customHeight="1">
      <c r="D3953" s="163"/>
      <c r="E3953" s="163"/>
      <c r="F3953" s="163"/>
      <c r="G3953" s="163"/>
      <c r="H3953" s="163"/>
    </row>
    <row r="3954" spans="4:8" ht="11.25" customHeight="1">
      <c r="D3954" s="163"/>
      <c r="E3954" s="163"/>
      <c r="F3954" s="163"/>
      <c r="G3954" s="163"/>
      <c r="H3954" s="163"/>
    </row>
    <row r="3955" spans="4:8" ht="11.25" customHeight="1">
      <c r="D3955" s="163"/>
      <c r="E3955" s="163"/>
      <c r="F3955" s="163"/>
      <c r="G3955" s="163"/>
      <c r="H3955" s="163"/>
    </row>
    <row r="3956" spans="4:8" ht="11.25" customHeight="1">
      <c r="D3956" s="163"/>
      <c r="E3956" s="163"/>
      <c r="F3956" s="163"/>
      <c r="G3956" s="163"/>
      <c r="H3956" s="163"/>
    </row>
    <row r="3957" spans="4:8" ht="11.25" customHeight="1">
      <c r="D3957" s="163"/>
      <c r="E3957" s="163"/>
      <c r="F3957" s="163"/>
      <c r="G3957" s="163"/>
      <c r="H3957" s="163"/>
    </row>
    <row r="3958" spans="4:8" ht="11.25" customHeight="1">
      <c r="D3958" s="163"/>
      <c r="E3958" s="163"/>
      <c r="F3958" s="163"/>
      <c r="G3958" s="163"/>
      <c r="H3958" s="163"/>
    </row>
    <row r="3959" spans="4:8" ht="11.25" customHeight="1">
      <c r="D3959" s="163"/>
      <c r="E3959" s="163"/>
      <c r="F3959" s="163"/>
      <c r="G3959" s="163"/>
      <c r="H3959" s="163"/>
    </row>
    <row r="3960" spans="4:8" ht="11.25" customHeight="1">
      <c r="D3960" s="163"/>
      <c r="E3960" s="163"/>
      <c r="F3960" s="163"/>
      <c r="G3960" s="163"/>
      <c r="H3960" s="163"/>
    </row>
    <row r="3961" spans="4:8" ht="11.25" customHeight="1">
      <c r="D3961" s="163"/>
      <c r="E3961" s="163"/>
      <c r="F3961" s="163"/>
      <c r="G3961" s="163"/>
      <c r="H3961" s="163"/>
    </row>
    <row r="3962" spans="4:8" ht="11.25" customHeight="1">
      <c r="D3962" s="163"/>
      <c r="E3962" s="163"/>
      <c r="F3962" s="163"/>
      <c r="G3962" s="163"/>
      <c r="H3962" s="163"/>
    </row>
    <row r="3963" spans="4:8" ht="11.25" customHeight="1">
      <c r="D3963" s="163"/>
      <c r="E3963" s="163"/>
      <c r="F3963" s="163"/>
      <c r="G3963" s="163"/>
      <c r="H3963" s="163"/>
    </row>
    <row r="3964" spans="4:8" ht="11.25" customHeight="1">
      <c r="D3964" s="163"/>
      <c r="E3964" s="163"/>
      <c r="F3964" s="163"/>
      <c r="G3964" s="163"/>
      <c r="H3964" s="163"/>
    </row>
    <row r="3965" spans="4:8" ht="11.25" customHeight="1">
      <c r="D3965" s="163"/>
      <c r="E3965" s="163"/>
      <c r="F3965" s="163"/>
      <c r="G3965" s="163"/>
      <c r="H3965" s="163"/>
    </row>
    <row r="3966" spans="4:8" ht="11.25" customHeight="1">
      <c r="D3966" s="163"/>
      <c r="E3966" s="163"/>
      <c r="F3966" s="163"/>
      <c r="G3966" s="163"/>
      <c r="H3966" s="163"/>
    </row>
    <row r="3967" spans="4:8" ht="11.25" customHeight="1">
      <c r="D3967" s="163"/>
      <c r="E3967" s="163"/>
      <c r="F3967" s="163"/>
      <c r="G3967" s="163"/>
      <c r="H3967" s="163"/>
    </row>
    <row r="3968" spans="4:8" ht="11.25" customHeight="1">
      <c r="D3968" s="163"/>
      <c r="E3968" s="163"/>
    </row>
  </sheetData>
  <sheetProtection formatCells="0" selectLockedCells="1"/>
  <mergeCells count="48">
    <mergeCell ref="W28:Y29"/>
    <mergeCell ref="F3:G4"/>
    <mergeCell ref="H3:K4"/>
    <mergeCell ref="F7:G7"/>
    <mergeCell ref="H7:O7"/>
    <mergeCell ref="F8:G8"/>
    <mergeCell ref="H8:O8"/>
    <mergeCell ref="F9:G10"/>
    <mergeCell ref="H9:O10"/>
    <mergeCell ref="F11:I12"/>
    <mergeCell ref="F14:O28"/>
    <mergeCell ref="AG63:AJ64"/>
    <mergeCell ref="G285:M285"/>
    <mergeCell ref="F310:M310"/>
    <mergeCell ref="C297:C315"/>
    <mergeCell ref="F297:L298"/>
    <mergeCell ref="F299:L300"/>
    <mergeCell ref="F301:M301"/>
    <mergeCell ref="F302:M302"/>
    <mergeCell ref="F303:M303"/>
    <mergeCell ref="F304:K305"/>
    <mergeCell ref="L304:M304"/>
    <mergeCell ref="L305:M305"/>
    <mergeCell ref="F306:K307"/>
    <mergeCell ref="F311:M311"/>
    <mergeCell ref="F312:M312"/>
    <mergeCell ref="F313:M313"/>
    <mergeCell ref="F314:M314"/>
    <mergeCell ref="F315:M315"/>
    <mergeCell ref="L306:M306"/>
    <mergeCell ref="L307:M307"/>
    <mergeCell ref="F308:K309"/>
    <mergeCell ref="L308:M308"/>
    <mergeCell ref="L309:M309"/>
    <mergeCell ref="F329:M329"/>
    <mergeCell ref="G335:M335"/>
    <mergeCell ref="C318:C329"/>
    <mergeCell ref="F322:M322"/>
    <mergeCell ref="F323:M323"/>
    <mergeCell ref="F324:M324"/>
    <mergeCell ref="F325:M325"/>
    <mergeCell ref="F326:M326"/>
    <mergeCell ref="F327:M327"/>
    <mergeCell ref="F318:M318"/>
    <mergeCell ref="F319:M319"/>
    <mergeCell ref="F320:M320"/>
    <mergeCell ref="F321:M321"/>
    <mergeCell ref="F328:M328"/>
  </mergeCells>
  <pageMargins left="0.23622047244094491" right="0.23622047244094491" top="0.59055118110236227" bottom="0.35433070866141736" header="0.31496062992125984" footer="0.31496062992125984"/>
  <pageSetup paperSize="9" orientation="landscape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P1321"/>
  <sheetViews>
    <sheetView workbookViewId="0">
      <pane ySplit="4" topLeftCell="A658" activePane="bottomLeft" state="frozen"/>
      <selection activeCell="AD51" sqref="AD51:AH53"/>
      <selection pane="bottomLeft" activeCell="AD51" sqref="AD51:AH53"/>
    </sheetView>
  </sheetViews>
  <sheetFormatPr defaultColWidth="5" defaultRowHeight="14.25" customHeight="1" outlineLevelRow="1" outlineLevelCol="1"/>
  <cols>
    <col min="1" max="1" width="5" style="236"/>
    <col min="2" max="2" width="5" style="252"/>
    <col min="3" max="3" width="5.08984375" style="252" customWidth="1"/>
    <col min="4" max="4" width="5.90625" style="252" customWidth="1"/>
    <col min="5" max="5" width="21.54296875" style="252" customWidth="1"/>
    <col min="6" max="17" width="5" style="236" customWidth="1"/>
    <col min="18" max="18" width="7.1796875" style="236" customWidth="1"/>
    <col min="19" max="19" width="3.26953125" style="236" hidden="1" customWidth="1" outlineLevel="1"/>
    <col min="20" max="20" width="15.36328125" style="252" hidden="1" customWidth="1" outlineLevel="1"/>
    <col min="21" max="21" width="5.08984375" style="236" customWidth="1" collapsed="1"/>
    <col min="22" max="35" width="5.08984375" style="236" customWidth="1"/>
    <col min="36" max="36" width="6.453125" style="236" customWidth="1"/>
    <col min="37" max="37" width="5" style="236" customWidth="1"/>
    <col min="38" max="39" width="5.08984375" style="236" customWidth="1"/>
    <col min="40" max="40" width="5" style="255" hidden="1" customWidth="1" outlineLevel="1" collapsed="1"/>
    <col min="41" max="41" width="10.90625" style="252" hidden="1" customWidth="1" outlineLevel="1"/>
    <col min="42" max="42" width="5" style="236" customWidth="1" collapsed="1"/>
    <col min="43" max="53" width="5" style="236" customWidth="1"/>
    <col min="54" max="54" width="3.7265625" style="255" hidden="1" customWidth="1" outlineLevel="1"/>
    <col min="55" max="55" width="9.1796875" style="236" hidden="1" customWidth="1" outlineLevel="1"/>
    <col min="56" max="56" width="5" style="236" collapsed="1"/>
    <col min="57" max="258" width="5" style="236"/>
    <col min="259" max="259" width="5.08984375" style="236" customWidth="1"/>
    <col min="260" max="260" width="5.90625" style="236" customWidth="1"/>
    <col min="261" max="261" width="21.54296875" style="236" customWidth="1"/>
    <col min="262" max="273" width="5" style="236" customWidth="1"/>
    <col min="274" max="274" width="7.1796875" style="236" customWidth="1"/>
    <col min="275" max="276" width="0" style="236" hidden="1" customWidth="1"/>
    <col min="277" max="291" width="5.08984375" style="236" customWidth="1"/>
    <col min="292" max="292" width="6.453125" style="236" customWidth="1"/>
    <col min="293" max="293" width="5" style="236" customWidth="1"/>
    <col min="294" max="295" width="5.08984375" style="236" customWidth="1"/>
    <col min="296" max="297" width="0" style="236" hidden="1" customWidth="1"/>
    <col min="298" max="309" width="5" style="236" customWidth="1"/>
    <col min="310" max="311" width="0" style="236" hidden="1" customWidth="1"/>
    <col min="312" max="514" width="5" style="236"/>
    <col min="515" max="515" width="5.08984375" style="236" customWidth="1"/>
    <col min="516" max="516" width="5.90625" style="236" customWidth="1"/>
    <col min="517" max="517" width="21.54296875" style="236" customWidth="1"/>
    <col min="518" max="529" width="5" style="236" customWidth="1"/>
    <col min="530" max="530" width="7.1796875" style="236" customWidth="1"/>
    <col min="531" max="532" width="0" style="236" hidden="1" customWidth="1"/>
    <col min="533" max="547" width="5.08984375" style="236" customWidth="1"/>
    <col min="548" max="548" width="6.453125" style="236" customWidth="1"/>
    <col min="549" max="549" width="5" style="236" customWidth="1"/>
    <col min="550" max="551" width="5.08984375" style="236" customWidth="1"/>
    <col min="552" max="553" width="0" style="236" hidden="1" customWidth="1"/>
    <col min="554" max="565" width="5" style="236" customWidth="1"/>
    <col min="566" max="567" width="0" style="236" hidden="1" customWidth="1"/>
    <col min="568" max="770" width="5" style="236"/>
    <col min="771" max="771" width="5.08984375" style="236" customWidth="1"/>
    <col min="772" max="772" width="5.90625" style="236" customWidth="1"/>
    <col min="773" max="773" width="21.54296875" style="236" customWidth="1"/>
    <col min="774" max="785" width="5" style="236" customWidth="1"/>
    <col min="786" max="786" width="7.1796875" style="236" customWidth="1"/>
    <col min="787" max="788" width="0" style="236" hidden="1" customWidth="1"/>
    <col min="789" max="803" width="5.08984375" style="236" customWidth="1"/>
    <col min="804" max="804" width="6.453125" style="236" customWidth="1"/>
    <col min="805" max="805" width="5" style="236" customWidth="1"/>
    <col min="806" max="807" width="5.08984375" style="236" customWidth="1"/>
    <col min="808" max="809" width="0" style="236" hidden="1" customWidth="1"/>
    <col min="810" max="821" width="5" style="236" customWidth="1"/>
    <col min="822" max="823" width="0" style="236" hidden="1" customWidth="1"/>
    <col min="824" max="1026" width="5" style="236"/>
    <col min="1027" max="1027" width="5.08984375" style="236" customWidth="1"/>
    <col min="1028" max="1028" width="5.90625" style="236" customWidth="1"/>
    <col min="1029" max="1029" width="21.54296875" style="236" customWidth="1"/>
    <col min="1030" max="1041" width="5" style="236" customWidth="1"/>
    <col min="1042" max="1042" width="7.1796875" style="236" customWidth="1"/>
    <col min="1043" max="1044" width="0" style="236" hidden="1" customWidth="1"/>
    <col min="1045" max="1059" width="5.08984375" style="236" customWidth="1"/>
    <col min="1060" max="1060" width="6.453125" style="236" customWidth="1"/>
    <col min="1061" max="1061" width="5" style="236" customWidth="1"/>
    <col min="1062" max="1063" width="5.08984375" style="236" customWidth="1"/>
    <col min="1064" max="1065" width="0" style="236" hidden="1" customWidth="1"/>
    <col min="1066" max="1077" width="5" style="236" customWidth="1"/>
    <col min="1078" max="1079" width="0" style="236" hidden="1" customWidth="1"/>
    <col min="1080" max="1282" width="5" style="236"/>
    <col min="1283" max="1283" width="5.08984375" style="236" customWidth="1"/>
    <col min="1284" max="1284" width="5.90625" style="236" customWidth="1"/>
    <col min="1285" max="1285" width="21.54296875" style="236" customWidth="1"/>
    <col min="1286" max="1297" width="5" style="236" customWidth="1"/>
    <col min="1298" max="1298" width="7.1796875" style="236" customWidth="1"/>
    <col min="1299" max="1300" width="0" style="236" hidden="1" customWidth="1"/>
    <col min="1301" max="1315" width="5.08984375" style="236" customWidth="1"/>
    <col min="1316" max="1316" width="6.453125" style="236" customWidth="1"/>
    <col min="1317" max="1317" width="5" style="236" customWidth="1"/>
    <col min="1318" max="1319" width="5.08984375" style="236" customWidth="1"/>
    <col min="1320" max="1321" width="0" style="236" hidden="1" customWidth="1"/>
    <col min="1322" max="1333" width="5" style="236" customWidth="1"/>
    <col min="1334" max="1335" width="0" style="236" hidden="1" customWidth="1"/>
    <col min="1336" max="1538" width="5" style="236"/>
    <col min="1539" max="1539" width="5.08984375" style="236" customWidth="1"/>
    <col min="1540" max="1540" width="5.90625" style="236" customWidth="1"/>
    <col min="1541" max="1541" width="21.54296875" style="236" customWidth="1"/>
    <col min="1542" max="1553" width="5" style="236" customWidth="1"/>
    <col min="1554" max="1554" width="7.1796875" style="236" customWidth="1"/>
    <col min="1555" max="1556" width="0" style="236" hidden="1" customWidth="1"/>
    <col min="1557" max="1571" width="5.08984375" style="236" customWidth="1"/>
    <col min="1572" max="1572" width="6.453125" style="236" customWidth="1"/>
    <col min="1573" max="1573" width="5" style="236" customWidth="1"/>
    <col min="1574" max="1575" width="5.08984375" style="236" customWidth="1"/>
    <col min="1576" max="1577" width="0" style="236" hidden="1" customWidth="1"/>
    <col min="1578" max="1589" width="5" style="236" customWidth="1"/>
    <col min="1590" max="1591" width="0" style="236" hidden="1" customWidth="1"/>
    <col min="1592" max="1794" width="5" style="236"/>
    <col min="1795" max="1795" width="5.08984375" style="236" customWidth="1"/>
    <col min="1796" max="1796" width="5.90625" style="236" customWidth="1"/>
    <col min="1797" max="1797" width="21.54296875" style="236" customWidth="1"/>
    <col min="1798" max="1809" width="5" style="236" customWidth="1"/>
    <col min="1810" max="1810" width="7.1796875" style="236" customWidth="1"/>
    <col min="1811" max="1812" width="0" style="236" hidden="1" customWidth="1"/>
    <col min="1813" max="1827" width="5.08984375" style="236" customWidth="1"/>
    <col min="1828" max="1828" width="6.453125" style="236" customWidth="1"/>
    <col min="1829" max="1829" width="5" style="236" customWidth="1"/>
    <col min="1830" max="1831" width="5.08984375" style="236" customWidth="1"/>
    <col min="1832" max="1833" width="0" style="236" hidden="1" customWidth="1"/>
    <col min="1834" max="1845" width="5" style="236" customWidth="1"/>
    <col min="1846" max="1847" width="0" style="236" hidden="1" customWidth="1"/>
    <col min="1848" max="2050" width="5" style="236"/>
    <col min="2051" max="2051" width="5.08984375" style="236" customWidth="1"/>
    <col min="2052" max="2052" width="5.90625" style="236" customWidth="1"/>
    <col min="2053" max="2053" width="21.54296875" style="236" customWidth="1"/>
    <col min="2054" max="2065" width="5" style="236" customWidth="1"/>
    <col min="2066" max="2066" width="7.1796875" style="236" customWidth="1"/>
    <col min="2067" max="2068" width="0" style="236" hidden="1" customWidth="1"/>
    <col min="2069" max="2083" width="5.08984375" style="236" customWidth="1"/>
    <col min="2084" max="2084" width="6.453125" style="236" customWidth="1"/>
    <col min="2085" max="2085" width="5" style="236" customWidth="1"/>
    <col min="2086" max="2087" width="5.08984375" style="236" customWidth="1"/>
    <col min="2088" max="2089" width="0" style="236" hidden="1" customWidth="1"/>
    <col min="2090" max="2101" width="5" style="236" customWidth="1"/>
    <col min="2102" max="2103" width="0" style="236" hidden="1" customWidth="1"/>
    <col min="2104" max="2306" width="5" style="236"/>
    <col min="2307" max="2307" width="5.08984375" style="236" customWidth="1"/>
    <col min="2308" max="2308" width="5.90625" style="236" customWidth="1"/>
    <col min="2309" max="2309" width="21.54296875" style="236" customWidth="1"/>
    <col min="2310" max="2321" width="5" style="236" customWidth="1"/>
    <col min="2322" max="2322" width="7.1796875" style="236" customWidth="1"/>
    <col min="2323" max="2324" width="0" style="236" hidden="1" customWidth="1"/>
    <col min="2325" max="2339" width="5.08984375" style="236" customWidth="1"/>
    <col min="2340" max="2340" width="6.453125" style="236" customWidth="1"/>
    <col min="2341" max="2341" width="5" style="236" customWidth="1"/>
    <col min="2342" max="2343" width="5.08984375" style="236" customWidth="1"/>
    <col min="2344" max="2345" width="0" style="236" hidden="1" customWidth="1"/>
    <col min="2346" max="2357" width="5" style="236" customWidth="1"/>
    <col min="2358" max="2359" width="0" style="236" hidden="1" customWidth="1"/>
    <col min="2360" max="2562" width="5" style="236"/>
    <col min="2563" max="2563" width="5.08984375" style="236" customWidth="1"/>
    <col min="2564" max="2564" width="5.90625" style="236" customWidth="1"/>
    <col min="2565" max="2565" width="21.54296875" style="236" customWidth="1"/>
    <col min="2566" max="2577" width="5" style="236" customWidth="1"/>
    <col min="2578" max="2578" width="7.1796875" style="236" customWidth="1"/>
    <col min="2579" max="2580" width="0" style="236" hidden="1" customWidth="1"/>
    <col min="2581" max="2595" width="5.08984375" style="236" customWidth="1"/>
    <col min="2596" max="2596" width="6.453125" style="236" customWidth="1"/>
    <col min="2597" max="2597" width="5" style="236" customWidth="1"/>
    <col min="2598" max="2599" width="5.08984375" style="236" customWidth="1"/>
    <col min="2600" max="2601" width="0" style="236" hidden="1" customWidth="1"/>
    <col min="2602" max="2613" width="5" style="236" customWidth="1"/>
    <col min="2614" max="2615" width="0" style="236" hidden="1" customWidth="1"/>
    <col min="2616" max="2818" width="5" style="236"/>
    <col min="2819" max="2819" width="5.08984375" style="236" customWidth="1"/>
    <col min="2820" max="2820" width="5.90625" style="236" customWidth="1"/>
    <col min="2821" max="2821" width="21.54296875" style="236" customWidth="1"/>
    <col min="2822" max="2833" width="5" style="236" customWidth="1"/>
    <col min="2834" max="2834" width="7.1796875" style="236" customWidth="1"/>
    <col min="2835" max="2836" width="0" style="236" hidden="1" customWidth="1"/>
    <col min="2837" max="2851" width="5.08984375" style="236" customWidth="1"/>
    <col min="2852" max="2852" width="6.453125" style="236" customWidth="1"/>
    <col min="2853" max="2853" width="5" style="236" customWidth="1"/>
    <col min="2854" max="2855" width="5.08984375" style="236" customWidth="1"/>
    <col min="2856" max="2857" width="0" style="236" hidden="1" customWidth="1"/>
    <col min="2858" max="2869" width="5" style="236" customWidth="1"/>
    <col min="2870" max="2871" width="0" style="236" hidden="1" customWidth="1"/>
    <col min="2872" max="3074" width="5" style="236"/>
    <col min="3075" max="3075" width="5.08984375" style="236" customWidth="1"/>
    <col min="3076" max="3076" width="5.90625" style="236" customWidth="1"/>
    <col min="3077" max="3077" width="21.54296875" style="236" customWidth="1"/>
    <col min="3078" max="3089" width="5" style="236" customWidth="1"/>
    <col min="3090" max="3090" width="7.1796875" style="236" customWidth="1"/>
    <col min="3091" max="3092" width="0" style="236" hidden="1" customWidth="1"/>
    <col min="3093" max="3107" width="5.08984375" style="236" customWidth="1"/>
    <col min="3108" max="3108" width="6.453125" style="236" customWidth="1"/>
    <col min="3109" max="3109" width="5" style="236" customWidth="1"/>
    <col min="3110" max="3111" width="5.08984375" style="236" customWidth="1"/>
    <col min="3112" max="3113" width="0" style="236" hidden="1" customWidth="1"/>
    <col min="3114" max="3125" width="5" style="236" customWidth="1"/>
    <col min="3126" max="3127" width="0" style="236" hidden="1" customWidth="1"/>
    <col min="3128" max="3330" width="5" style="236"/>
    <col min="3331" max="3331" width="5.08984375" style="236" customWidth="1"/>
    <col min="3332" max="3332" width="5.90625" style="236" customWidth="1"/>
    <col min="3333" max="3333" width="21.54296875" style="236" customWidth="1"/>
    <col min="3334" max="3345" width="5" style="236" customWidth="1"/>
    <col min="3346" max="3346" width="7.1796875" style="236" customWidth="1"/>
    <col min="3347" max="3348" width="0" style="236" hidden="1" customWidth="1"/>
    <col min="3349" max="3363" width="5.08984375" style="236" customWidth="1"/>
    <col min="3364" max="3364" width="6.453125" style="236" customWidth="1"/>
    <col min="3365" max="3365" width="5" style="236" customWidth="1"/>
    <col min="3366" max="3367" width="5.08984375" style="236" customWidth="1"/>
    <col min="3368" max="3369" width="0" style="236" hidden="1" customWidth="1"/>
    <col min="3370" max="3381" width="5" style="236" customWidth="1"/>
    <col min="3382" max="3383" width="0" style="236" hidden="1" customWidth="1"/>
    <col min="3384" max="3586" width="5" style="236"/>
    <col min="3587" max="3587" width="5.08984375" style="236" customWidth="1"/>
    <col min="3588" max="3588" width="5.90625" style="236" customWidth="1"/>
    <col min="3589" max="3589" width="21.54296875" style="236" customWidth="1"/>
    <col min="3590" max="3601" width="5" style="236" customWidth="1"/>
    <col min="3602" max="3602" width="7.1796875" style="236" customWidth="1"/>
    <col min="3603" max="3604" width="0" style="236" hidden="1" customWidth="1"/>
    <col min="3605" max="3619" width="5.08984375" style="236" customWidth="1"/>
    <col min="3620" max="3620" width="6.453125" style="236" customWidth="1"/>
    <col min="3621" max="3621" width="5" style="236" customWidth="1"/>
    <col min="3622" max="3623" width="5.08984375" style="236" customWidth="1"/>
    <col min="3624" max="3625" width="0" style="236" hidden="1" customWidth="1"/>
    <col min="3626" max="3637" width="5" style="236" customWidth="1"/>
    <col min="3638" max="3639" width="0" style="236" hidden="1" customWidth="1"/>
    <col min="3640" max="3842" width="5" style="236"/>
    <col min="3843" max="3843" width="5.08984375" style="236" customWidth="1"/>
    <col min="3844" max="3844" width="5.90625" style="236" customWidth="1"/>
    <col min="3845" max="3845" width="21.54296875" style="236" customWidth="1"/>
    <col min="3846" max="3857" width="5" style="236" customWidth="1"/>
    <col min="3858" max="3858" width="7.1796875" style="236" customWidth="1"/>
    <col min="3859" max="3860" width="0" style="236" hidden="1" customWidth="1"/>
    <col min="3861" max="3875" width="5.08984375" style="236" customWidth="1"/>
    <col min="3876" max="3876" width="6.453125" style="236" customWidth="1"/>
    <col min="3877" max="3877" width="5" style="236" customWidth="1"/>
    <col min="3878" max="3879" width="5.08984375" style="236" customWidth="1"/>
    <col min="3880" max="3881" width="0" style="236" hidden="1" customWidth="1"/>
    <col min="3882" max="3893" width="5" style="236" customWidth="1"/>
    <col min="3894" max="3895" width="0" style="236" hidden="1" customWidth="1"/>
    <col min="3896" max="4098" width="5" style="236"/>
    <col min="4099" max="4099" width="5.08984375" style="236" customWidth="1"/>
    <col min="4100" max="4100" width="5.90625" style="236" customWidth="1"/>
    <col min="4101" max="4101" width="21.54296875" style="236" customWidth="1"/>
    <col min="4102" max="4113" width="5" style="236" customWidth="1"/>
    <col min="4114" max="4114" width="7.1796875" style="236" customWidth="1"/>
    <col min="4115" max="4116" width="0" style="236" hidden="1" customWidth="1"/>
    <col min="4117" max="4131" width="5.08984375" style="236" customWidth="1"/>
    <col min="4132" max="4132" width="6.453125" style="236" customWidth="1"/>
    <col min="4133" max="4133" width="5" style="236" customWidth="1"/>
    <col min="4134" max="4135" width="5.08984375" style="236" customWidth="1"/>
    <col min="4136" max="4137" width="0" style="236" hidden="1" customWidth="1"/>
    <col min="4138" max="4149" width="5" style="236" customWidth="1"/>
    <col min="4150" max="4151" width="0" style="236" hidden="1" customWidth="1"/>
    <col min="4152" max="4354" width="5" style="236"/>
    <col min="4355" max="4355" width="5.08984375" style="236" customWidth="1"/>
    <col min="4356" max="4356" width="5.90625" style="236" customWidth="1"/>
    <col min="4357" max="4357" width="21.54296875" style="236" customWidth="1"/>
    <col min="4358" max="4369" width="5" style="236" customWidth="1"/>
    <col min="4370" max="4370" width="7.1796875" style="236" customWidth="1"/>
    <col min="4371" max="4372" width="0" style="236" hidden="1" customWidth="1"/>
    <col min="4373" max="4387" width="5.08984375" style="236" customWidth="1"/>
    <col min="4388" max="4388" width="6.453125" style="236" customWidth="1"/>
    <col min="4389" max="4389" width="5" style="236" customWidth="1"/>
    <col min="4390" max="4391" width="5.08984375" style="236" customWidth="1"/>
    <col min="4392" max="4393" width="0" style="236" hidden="1" customWidth="1"/>
    <col min="4394" max="4405" width="5" style="236" customWidth="1"/>
    <col min="4406" max="4407" width="0" style="236" hidden="1" customWidth="1"/>
    <col min="4408" max="4610" width="5" style="236"/>
    <col min="4611" max="4611" width="5.08984375" style="236" customWidth="1"/>
    <col min="4612" max="4612" width="5.90625" style="236" customWidth="1"/>
    <col min="4613" max="4613" width="21.54296875" style="236" customWidth="1"/>
    <col min="4614" max="4625" width="5" style="236" customWidth="1"/>
    <col min="4626" max="4626" width="7.1796875" style="236" customWidth="1"/>
    <col min="4627" max="4628" width="0" style="236" hidden="1" customWidth="1"/>
    <col min="4629" max="4643" width="5.08984375" style="236" customWidth="1"/>
    <col min="4644" max="4644" width="6.453125" style="236" customWidth="1"/>
    <col min="4645" max="4645" width="5" style="236" customWidth="1"/>
    <col min="4646" max="4647" width="5.08984375" style="236" customWidth="1"/>
    <col min="4648" max="4649" width="0" style="236" hidden="1" customWidth="1"/>
    <col min="4650" max="4661" width="5" style="236" customWidth="1"/>
    <col min="4662" max="4663" width="0" style="236" hidden="1" customWidth="1"/>
    <col min="4664" max="4866" width="5" style="236"/>
    <col min="4867" max="4867" width="5.08984375" style="236" customWidth="1"/>
    <col min="4868" max="4868" width="5.90625" style="236" customWidth="1"/>
    <col min="4869" max="4869" width="21.54296875" style="236" customWidth="1"/>
    <col min="4870" max="4881" width="5" style="236" customWidth="1"/>
    <col min="4882" max="4882" width="7.1796875" style="236" customWidth="1"/>
    <col min="4883" max="4884" width="0" style="236" hidden="1" customWidth="1"/>
    <col min="4885" max="4899" width="5.08984375" style="236" customWidth="1"/>
    <col min="4900" max="4900" width="6.453125" style="236" customWidth="1"/>
    <col min="4901" max="4901" width="5" style="236" customWidth="1"/>
    <col min="4902" max="4903" width="5.08984375" style="236" customWidth="1"/>
    <col min="4904" max="4905" width="0" style="236" hidden="1" customWidth="1"/>
    <col min="4906" max="4917" width="5" style="236" customWidth="1"/>
    <col min="4918" max="4919" width="0" style="236" hidden="1" customWidth="1"/>
    <col min="4920" max="5122" width="5" style="236"/>
    <col min="5123" max="5123" width="5.08984375" style="236" customWidth="1"/>
    <col min="5124" max="5124" width="5.90625" style="236" customWidth="1"/>
    <col min="5125" max="5125" width="21.54296875" style="236" customWidth="1"/>
    <col min="5126" max="5137" width="5" style="236" customWidth="1"/>
    <col min="5138" max="5138" width="7.1796875" style="236" customWidth="1"/>
    <col min="5139" max="5140" width="0" style="236" hidden="1" customWidth="1"/>
    <col min="5141" max="5155" width="5.08984375" style="236" customWidth="1"/>
    <col min="5156" max="5156" width="6.453125" style="236" customWidth="1"/>
    <col min="5157" max="5157" width="5" style="236" customWidth="1"/>
    <col min="5158" max="5159" width="5.08984375" style="236" customWidth="1"/>
    <col min="5160" max="5161" width="0" style="236" hidden="1" customWidth="1"/>
    <col min="5162" max="5173" width="5" style="236" customWidth="1"/>
    <col min="5174" max="5175" width="0" style="236" hidden="1" customWidth="1"/>
    <col min="5176" max="5378" width="5" style="236"/>
    <col min="5379" max="5379" width="5.08984375" style="236" customWidth="1"/>
    <col min="5380" max="5380" width="5.90625" style="236" customWidth="1"/>
    <col min="5381" max="5381" width="21.54296875" style="236" customWidth="1"/>
    <col min="5382" max="5393" width="5" style="236" customWidth="1"/>
    <col min="5394" max="5394" width="7.1796875" style="236" customWidth="1"/>
    <col min="5395" max="5396" width="0" style="236" hidden="1" customWidth="1"/>
    <col min="5397" max="5411" width="5.08984375" style="236" customWidth="1"/>
    <col min="5412" max="5412" width="6.453125" style="236" customWidth="1"/>
    <col min="5413" max="5413" width="5" style="236" customWidth="1"/>
    <col min="5414" max="5415" width="5.08984375" style="236" customWidth="1"/>
    <col min="5416" max="5417" width="0" style="236" hidden="1" customWidth="1"/>
    <col min="5418" max="5429" width="5" style="236" customWidth="1"/>
    <col min="5430" max="5431" width="0" style="236" hidden="1" customWidth="1"/>
    <col min="5432" max="5634" width="5" style="236"/>
    <col min="5635" max="5635" width="5.08984375" style="236" customWidth="1"/>
    <col min="5636" max="5636" width="5.90625" style="236" customWidth="1"/>
    <col min="5637" max="5637" width="21.54296875" style="236" customWidth="1"/>
    <col min="5638" max="5649" width="5" style="236" customWidth="1"/>
    <col min="5650" max="5650" width="7.1796875" style="236" customWidth="1"/>
    <col min="5651" max="5652" width="0" style="236" hidden="1" customWidth="1"/>
    <col min="5653" max="5667" width="5.08984375" style="236" customWidth="1"/>
    <col min="5668" max="5668" width="6.453125" style="236" customWidth="1"/>
    <col min="5669" max="5669" width="5" style="236" customWidth="1"/>
    <col min="5670" max="5671" width="5.08984375" style="236" customWidth="1"/>
    <col min="5672" max="5673" width="0" style="236" hidden="1" customWidth="1"/>
    <col min="5674" max="5685" width="5" style="236" customWidth="1"/>
    <col min="5686" max="5687" width="0" style="236" hidden="1" customWidth="1"/>
    <col min="5688" max="5890" width="5" style="236"/>
    <col min="5891" max="5891" width="5.08984375" style="236" customWidth="1"/>
    <col min="5892" max="5892" width="5.90625" style="236" customWidth="1"/>
    <col min="5893" max="5893" width="21.54296875" style="236" customWidth="1"/>
    <col min="5894" max="5905" width="5" style="236" customWidth="1"/>
    <col min="5906" max="5906" width="7.1796875" style="236" customWidth="1"/>
    <col min="5907" max="5908" width="0" style="236" hidden="1" customWidth="1"/>
    <col min="5909" max="5923" width="5.08984375" style="236" customWidth="1"/>
    <col min="5924" max="5924" width="6.453125" style="236" customWidth="1"/>
    <col min="5925" max="5925" width="5" style="236" customWidth="1"/>
    <col min="5926" max="5927" width="5.08984375" style="236" customWidth="1"/>
    <col min="5928" max="5929" width="0" style="236" hidden="1" customWidth="1"/>
    <col min="5930" max="5941" width="5" style="236" customWidth="1"/>
    <col min="5942" max="5943" width="0" style="236" hidden="1" customWidth="1"/>
    <col min="5944" max="6146" width="5" style="236"/>
    <col min="6147" max="6147" width="5.08984375" style="236" customWidth="1"/>
    <col min="6148" max="6148" width="5.90625" style="236" customWidth="1"/>
    <col min="6149" max="6149" width="21.54296875" style="236" customWidth="1"/>
    <col min="6150" max="6161" width="5" style="236" customWidth="1"/>
    <col min="6162" max="6162" width="7.1796875" style="236" customWidth="1"/>
    <col min="6163" max="6164" width="0" style="236" hidden="1" customWidth="1"/>
    <col min="6165" max="6179" width="5.08984375" style="236" customWidth="1"/>
    <col min="6180" max="6180" width="6.453125" style="236" customWidth="1"/>
    <col min="6181" max="6181" width="5" style="236" customWidth="1"/>
    <col min="6182" max="6183" width="5.08984375" style="236" customWidth="1"/>
    <col min="6184" max="6185" width="0" style="236" hidden="1" customWidth="1"/>
    <col min="6186" max="6197" width="5" style="236" customWidth="1"/>
    <col min="6198" max="6199" width="0" style="236" hidden="1" customWidth="1"/>
    <col min="6200" max="6402" width="5" style="236"/>
    <col min="6403" max="6403" width="5.08984375" style="236" customWidth="1"/>
    <col min="6404" max="6404" width="5.90625" style="236" customWidth="1"/>
    <col min="6405" max="6405" width="21.54296875" style="236" customWidth="1"/>
    <col min="6406" max="6417" width="5" style="236" customWidth="1"/>
    <col min="6418" max="6418" width="7.1796875" style="236" customWidth="1"/>
    <col min="6419" max="6420" width="0" style="236" hidden="1" customWidth="1"/>
    <col min="6421" max="6435" width="5.08984375" style="236" customWidth="1"/>
    <col min="6436" max="6436" width="6.453125" style="236" customWidth="1"/>
    <col min="6437" max="6437" width="5" style="236" customWidth="1"/>
    <col min="6438" max="6439" width="5.08984375" style="236" customWidth="1"/>
    <col min="6440" max="6441" width="0" style="236" hidden="1" customWidth="1"/>
    <col min="6442" max="6453" width="5" style="236" customWidth="1"/>
    <col min="6454" max="6455" width="0" style="236" hidden="1" customWidth="1"/>
    <col min="6456" max="6658" width="5" style="236"/>
    <col min="6659" max="6659" width="5.08984375" style="236" customWidth="1"/>
    <col min="6660" max="6660" width="5.90625" style="236" customWidth="1"/>
    <col min="6661" max="6661" width="21.54296875" style="236" customWidth="1"/>
    <col min="6662" max="6673" width="5" style="236" customWidth="1"/>
    <col min="6674" max="6674" width="7.1796875" style="236" customWidth="1"/>
    <col min="6675" max="6676" width="0" style="236" hidden="1" customWidth="1"/>
    <col min="6677" max="6691" width="5.08984375" style="236" customWidth="1"/>
    <col min="6692" max="6692" width="6.453125" style="236" customWidth="1"/>
    <col min="6693" max="6693" width="5" style="236" customWidth="1"/>
    <col min="6694" max="6695" width="5.08984375" style="236" customWidth="1"/>
    <col min="6696" max="6697" width="0" style="236" hidden="1" customWidth="1"/>
    <col min="6698" max="6709" width="5" style="236" customWidth="1"/>
    <col min="6710" max="6711" width="0" style="236" hidden="1" customWidth="1"/>
    <col min="6712" max="6914" width="5" style="236"/>
    <col min="6915" max="6915" width="5.08984375" style="236" customWidth="1"/>
    <col min="6916" max="6916" width="5.90625" style="236" customWidth="1"/>
    <col min="6917" max="6917" width="21.54296875" style="236" customWidth="1"/>
    <col min="6918" max="6929" width="5" style="236" customWidth="1"/>
    <col min="6930" max="6930" width="7.1796875" style="236" customWidth="1"/>
    <col min="6931" max="6932" width="0" style="236" hidden="1" customWidth="1"/>
    <col min="6933" max="6947" width="5.08984375" style="236" customWidth="1"/>
    <col min="6948" max="6948" width="6.453125" style="236" customWidth="1"/>
    <col min="6949" max="6949" width="5" style="236" customWidth="1"/>
    <col min="6950" max="6951" width="5.08984375" style="236" customWidth="1"/>
    <col min="6952" max="6953" width="0" style="236" hidden="1" customWidth="1"/>
    <col min="6954" max="6965" width="5" style="236" customWidth="1"/>
    <col min="6966" max="6967" width="0" style="236" hidden="1" customWidth="1"/>
    <col min="6968" max="7170" width="5" style="236"/>
    <col min="7171" max="7171" width="5.08984375" style="236" customWidth="1"/>
    <col min="7172" max="7172" width="5.90625" style="236" customWidth="1"/>
    <col min="7173" max="7173" width="21.54296875" style="236" customWidth="1"/>
    <col min="7174" max="7185" width="5" style="236" customWidth="1"/>
    <col min="7186" max="7186" width="7.1796875" style="236" customWidth="1"/>
    <col min="7187" max="7188" width="0" style="236" hidden="1" customWidth="1"/>
    <col min="7189" max="7203" width="5.08984375" style="236" customWidth="1"/>
    <col min="7204" max="7204" width="6.453125" style="236" customWidth="1"/>
    <col min="7205" max="7205" width="5" style="236" customWidth="1"/>
    <col min="7206" max="7207" width="5.08984375" style="236" customWidth="1"/>
    <col min="7208" max="7209" width="0" style="236" hidden="1" customWidth="1"/>
    <col min="7210" max="7221" width="5" style="236" customWidth="1"/>
    <col min="7222" max="7223" width="0" style="236" hidden="1" customWidth="1"/>
    <col min="7224" max="7426" width="5" style="236"/>
    <col min="7427" max="7427" width="5.08984375" style="236" customWidth="1"/>
    <col min="7428" max="7428" width="5.90625" style="236" customWidth="1"/>
    <col min="7429" max="7429" width="21.54296875" style="236" customWidth="1"/>
    <col min="7430" max="7441" width="5" style="236" customWidth="1"/>
    <col min="7442" max="7442" width="7.1796875" style="236" customWidth="1"/>
    <col min="7443" max="7444" width="0" style="236" hidden="1" customWidth="1"/>
    <col min="7445" max="7459" width="5.08984375" style="236" customWidth="1"/>
    <col min="7460" max="7460" width="6.453125" style="236" customWidth="1"/>
    <col min="7461" max="7461" width="5" style="236" customWidth="1"/>
    <col min="7462" max="7463" width="5.08984375" style="236" customWidth="1"/>
    <col min="7464" max="7465" width="0" style="236" hidden="1" customWidth="1"/>
    <col min="7466" max="7477" width="5" style="236" customWidth="1"/>
    <col min="7478" max="7479" width="0" style="236" hidden="1" customWidth="1"/>
    <col min="7480" max="7682" width="5" style="236"/>
    <col min="7683" max="7683" width="5.08984375" style="236" customWidth="1"/>
    <col min="7684" max="7684" width="5.90625" style="236" customWidth="1"/>
    <col min="7685" max="7685" width="21.54296875" style="236" customWidth="1"/>
    <col min="7686" max="7697" width="5" style="236" customWidth="1"/>
    <col min="7698" max="7698" width="7.1796875" style="236" customWidth="1"/>
    <col min="7699" max="7700" width="0" style="236" hidden="1" customWidth="1"/>
    <col min="7701" max="7715" width="5.08984375" style="236" customWidth="1"/>
    <col min="7716" max="7716" width="6.453125" style="236" customWidth="1"/>
    <col min="7717" max="7717" width="5" style="236" customWidth="1"/>
    <col min="7718" max="7719" width="5.08984375" style="236" customWidth="1"/>
    <col min="7720" max="7721" width="0" style="236" hidden="1" customWidth="1"/>
    <col min="7722" max="7733" width="5" style="236" customWidth="1"/>
    <col min="7734" max="7735" width="0" style="236" hidden="1" customWidth="1"/>
    <col min="7736" max="7938" width="5" style="236"/>
    <col min="7939" max="7939" width="5.08984375" style="236" customWidth="1"/>
    <col min="7940" max="7940" width="5.90625" style="236" customWidth="1"/>
    <col min="7941" max="7941" width="21.54296875" style="236" customWidth="1"/>
    <col min="7942" max="7953" width="5" style="236" customWidth="1"/>
    <col min="7954" max="7954" width="7.1796875" style="236" customWidth="1"/>
    <col min="7955" max="7956" width="0" style="236" hidden="1" customWidth="1"/>
    <col min="7957" max="7971" width="5.08984375" style="236" customWidth="1"/>
    <col min="7972" max="7972" width="6.453125" style="236" customWidth="1"/>
    <col min="7973" max="7973" width="5" style="236" customWidth="1"/>
    <col min="7974" max="7975" width="5.08984375" style="236" customWidth="1"/>
    <col min="7976" max="7977" width="0" style="236" hidden="1" customWidth="1"/>
    <col min="7978" max="7989" width="5" style="236" customWidth="1"/>
    <col min="7990" max="7991" width="0" style="236" hidden="1" customWidth="1"/>
    <col min="7992" max="8194" width="5" style="236"/>
    <col min="8195" max="8195" width="5.08984375" style="236" customWidth="1"/>
    <col min="8196" max="8196" width="5.90625" style="236" customWidth="1"/>
    <col min="8197" max="8197" width="21.54296875" style="236" customWidth="1"/>
    <col min="8198" max="8209" width="5" style="236" customWidth="1"/>
    <col min="8210" max="8210" width="7.1796875" style="236" customWidth="1"/>
    <col min="8211" max="8212" width="0" style="236" hidden="1" customWidth="1"/>
    <col min="8213" max="8227" width="5.08984375" style="236" customWidth="1"/>
    <col min="8228" max="8228" width="6.453125" style="236" customWidth="1"/>
    <col min="8229" max="8229" width="5" style="236" customWidth="1"/>
    <col min="8230" max="8231" width="5.08984375" style="236" customWidth="1"/>
    <col min="8232" max="8233" width="0" style="236" hidden="1" customWidth="1"/>
    <col min="8234" max="8245" width="5" style="236" customWidth="1"/>
    <col min="8246" max="8247" width="0" style="236" hidden="1" customWidth="1"/>
    <col min="8248" max="8450" width="5" style="236"/>
    <col min="8451" max="8451" width="5.08984375" style="236" customWidth="1"/>
    <col min="8452" max="8452" width="5.90625" style="236" customWidth="1"/>
    <col min="8453" max="8453" width="21.54296875" style="236" customWidth="1"/>
    <col min="8454" max="8465" width="5" style="236" customWidth="1"/>
    <col min="8466" max="8466" width="7.1796875" style="236" customWidth="1"/>
    <col min="8467" max="8468" width="0" style="236" hidden="1" customWidth="1"/>
    <col min="8469" max="8483" width="5.08984375" style="236" customWidth="1"/>
    <col min="8484" max="8484" width="6.453125" style="236" customWidth="1"/>
    <col min="8485" max="8485" width="5" style="236" customWidth="1"/>
    <col min="8486" max="8487" width="5.08984375" style="236" customWidth="1"/>
    <col min="8488" max="8489" width="0" style="236" hidden="1" customWidth="1"/>
    <col min="8490" max="8501" width="5" style="236" customWidth="1"/>
    <col min="8502" max="8503" width="0" style="236" hidden="1" customWidth="1"/>
    <col min="8504" max="8706" width="5" style="236"/>
    <col min="8707" max="8707" width="5.08984375" style="236" customWidth="1"/>
    <col min="8708" max="8708" width="5.90625" style="236" customWidth="1"/>
    <col min="8709" max="8709" width="21.54296875" style="236" customWidth="1"/>
    <col min="8710" max="8721" width="5" style="236" customWidth="1"/>
    <col min="8722" max="8722" width="7.1796875" style="236" customWidth="1"/>
    <col min="8723" max="8724" width="0" style="236" hidden="1" customWidth="1"/>
    <col min="8725" max="8739" width="5.08984375" style="236" customWidth="1"/>
    <col min="8740" max="8740" width="6.453125" style="236" customWidth="1"/>
    <col min="8741" max="8741" width="5" style="236" customWidth="1"/>
    <col min="8742" max="8743" width="5.08984375" style="236" customWidth="1"/>
    <col min="8744" max="8745" width="0" style="236" hidden="1" customWidth="1"/>
    <col min="8746" max="8757" width="5" style="236" customWidth="1"/>
    <col min="8758" max="8759" width="0" style="236" hidden="1" customWidth="1"/>
    <col min="8760" max="8962" width="5" style="236"/>
    <col min="8963" max="8963" width="5.08984375" style="236" customWidth="1"/>
    <col min="8964" max="8964" width="5.90625" style="236" customWidth="1"/>
    <col min="8965" max="8965" width="21.54296875" style="236" customWidth="1"/>
    <col min="8966" max="8977" width="5" style="236" customWidth="1"/>
    <col min="8978" max="8978" width="7.1796875" style="236" customWidth="1"/>
    <col min="8979" max="8980" width="0" style="236" hidden="1" customWidth="1"/>
    <col min="8981" max="8995" width="5.08984375" style="236" customWidth="1"/>
    <col min="8996" max="8996" width="6.453125" style="236" customWidth="1"/>
    <col min="8997" max="8997" width="5" style="236" customWidth="1"/>
    <col min="8998" max="8999" width="5.08984375" style="236" customWidth="1"/>
    <col min="9000" max="9001" width="0" style="236" hidden="1" customWidth="1"/>
    <col min="9002" max="9013" width="5" style="236" customWidth="1"/>
    <col min="9014" max="9015" width="0" style="236" hidden="1" customWidth="1"/>
    <col min="9016" max="9218" width="5" style="236"/>
    <col min="9219" max="9219" width="5.08984375" style="236" customWidth="1"/>
    <col min="9220" max="9220" width="5.90625" style="236" customWidth="1"/>
    <col min="9221" max="9221" width="21.54296875" style="236" customWidth="1"/>
    <col min="9222" max="9233" width="5" style="236" customWidth="1"/>
    <col min="9234" max="9234" width="7.1796875" style="236" customWidth="1"/>
    <col min="9235" max="9236" width="0" style="236" hidden="1" customWidth="1"/>
    <col min="9237" max="9251" width="5.08984375" style="236" customWidth="1"/>
    <col min="9252" max="9252" width="6.453125" style="236" customWidth="1"/>
    <col min="9253" max="9253" width="5" style="236" customWidth="1"/>
    <col min="9254" max="9255" width="5.08984375" style="236" customWidth="1"/>
    <col min="9256" max="9257" width="0" style="236" hidden="1" customWidth="1"/>
    <col min="9258" max="9269" width="5" style="236" customWidth="1"/>
    <col min="9270" max="9271" width="0" style="236" hidden="1" customWidth="1"/>
    <col min="9272" max="9474" width="5" style="236"/>
    <col min="9475" max="9475" width="5.08984375" style="236" customWidth="1"/>
    <col min="9476" max="9476" width="5.90625" style="236" customWidth="1"/>
    <col min="9477" max="9477" width="21.54296875" style="236" customWidth="1"/>
    <col min="9478" max="9489" width="5" style="236" customWidth="1"/>
    <col min="9490" max="9490" width="7.1796875" style="236" customWidth="1"/>
    <col min="9491" max="9492" width="0" style="236" hidden="1" customWidth="1"/>
    <col min="9493" max="9507" width="5.08984375" style="236" customWidth="1"/>
    <col min="9508" max="9508" width="6.453125" style="236" customWidth="1"/>
    <col min="9509" max="9509" width="5" style="236" customWidth="1"/>
    <col min="9510" max="9511" width="5.08984375" style="236" customWidth="1"/>
    <col min="9512" max="9513" width="0" style="236" hidden="1" customWidth="1"/>
    <col min="9514" max="9525" width="5" style="236" customWidth="1"/>
    <col min="9526" max="9527" width="0" style="236" hidden="1" customWidth="1"/>
    <col min="9528" max="9730" width="5" style="236"/>
    <col min="9731" max="9731" width="5.08984375" style="236" customWidth="1"/>
    <col min="9732" max="9732" width="5.90625" style="236" customWidth="1"/>
    <col min="9733" max="9733" width="21.54296875" style="236" customWidth="1"/>
    <col min="9734" max="9745" width="5" style="236" customWidth="1"/>
    <col min="9746" max="9746" width="7.1796875" style="236" customWidth="1"/>
    <col min="9747" max="9748" width="0" style="236" hidden="1" customWidth="1"/>
    <col min="9749" max="9763" width="5.08984375" style="236" customWidth="1"/>
    <col min="9764" max="9764" width="6.453125" style="236" customWidth="1"/>
    <col min="9765" max="9765" width="5" style="236" customWidth="1"/>
    <col min="9766" max="9767" width="5.08984375" style="236" customWidth="1"/>
    <col min="9768" max="9769" width="0" style="236" hidden="1" customWidth="1"/>
    <col min="9770" max="9781" width="5" style="236" customWidth="1"/>
    <col min="9782" max="9783" width="0" style="236" hidden="1" customWidth="1"/>
    <col min="9784" max="9986" width="5" style="236"/>
    <col min="9987" max="9987" width="5.08984375" style="236" customWidth="1"/>
    <col min="9988" max="9988" width="5.90625" style="236" customWidth="1"/>
    <col min="9989" max="9989" width="21.54296875" style="236" customWidth="1"/>
    <col min="9990" max="10001" width="5" style="236" customWidth="1"/>
    <col min="10002" max="10002" width="7.1796875" style="236" customWidth="1"/>
    <col min="10003" max="10004" width="0" style="236" hidden="1" customWidth="1"/>
    <col min="10005" max="10019" width="5.08984375" style="236" customWidth="1"/>
    <col min="10020" max="10020" width="6.453125" style="236" customWidth="1"/>
    <col min="10021" max="10021" width="5" style="236" customWidth="1"/>
    <col min="10022" max="10023" width="5.08984375" style="236" customWidth="1"/>
    <col min="10024" max="10025" width="0" style="236" hidden="1" customWidth="1"/>
    <col min="10026" max="10037" width="5" style="236" customWidth="1"/>
    <col min="10038" max="10039" width="0" style="236" hidden="1" customWidth="1"/>
    <col min="10040" max="10242" width="5" style="236"/>
    <col min="10243" max="10243" width="5.08984375" style="236" customWidth="1"/>
    <col min="10244" max="10244" width="5.90625" style="236" customWidth="1"/>
    <col min="10245" max="10245" width="21.54296875" style="236" customWidth="1"/>
    <col min="10246" max="10257" width="5" style="236" customWidth="1"/>
    <col min="10258" max="10258" width="7.1796875" style="236" customWidth="1"/>
    <col min="10259" max="10260" width="0" style="236" hidden="1" customWidth="1"/>
    <col min="10261" max="10275" width="5.08984375" style="236" customWidth="1"/>
    <col min="10276" max="10276" width="6.453125" style="236" customWidth="1"/>
    <col min="10277" max="10277" width="5" style="236" customWidth="1"/>
    <col min="10278" max="10279" width="5.08984375" style="236" customWidth="1"/>
    <col min="10280" max="10281" width="0" style="236" hidden="1" customWidth="1"/>
    <col min="10282" max="10293" width="5" style="236" customWidth="1"/>
    <col min="10294" max="10295" width="0" style="236" hidden="1" customWidth="1"/>
    <col min="10296" max="10498" width="5" style="236"/>
    <col min="10499" max="10499" width="5.08984375" style="236" customWidth="1"/>
    <col min="10500" max="10500" width="5.90625" style="236" customWidth="1"/>
    <col min="10501" max="10501" width="21.54296875" style="236" customWidth="1"/>
    <col min="10502" max="10513" width="5" style="236" customWidth="1"/>
    <col min="10514" max="10514" width="7.1796875" style="236" customWidth="1"/>
    <col min="10515" max="10516" width="0" style="236" hidden="1" customWidth="1"/>
    <col min="10517" max="10531" width="5.08984375" style="236" customWidth="1"/>
    <col min="10532" max="10532" width="6.453125" style="236" customWidth="1"/>
    <col min="10533" max="10533" width="5" style="236" customWidth="1"/>
    <col min="10534" max="10535" width="5.08984375" style="236" customWidth="1"/>
    <col min="10536" max="10537" width="0" style="236" hidden="1" customWidth="1"/>
    <col min="10538" max="10549" width="5" style="236" customWidth="1"/>
    <col min="10550" max="10551" width="0" style="236" hidden="1" customWidth="1"/>
    <col min="10552" max="10754" width="5" style="236"/>
    <col min="10755" max="10755" width="5.08984375" style="236" customWidth="1"/>
    <col min="10756" max="10756" width="5.90625" style="236" customWidth="1"/>
    <col min="10757" max="10757" width="21.54296875" style="236" customWidth="1"/>
    <col min="10758" max="10769" width="5" style="236" customWidth="1"/>
    <col min="10770" max="10770" width="7.1796875" style="236" customWidth="1"/>
    <col min="10771" max="10772" width="0" style="236" hidden="1" customWidth="1"/>
    <col min="10773" max="10787" width="5.08984375" style="236" customWidth="1"/>
    <col min="10788" max="10788" width="6.453125" style="236" customWidth="1"/>
    <col min="10789" max="10789" width="5" style="236" customWidth="1"/>
    <col min="10790" max="10791" width="5.08984375" style="236" customWidth="1"/>
    <col min="10792" max="10793" width="0" style="236" hidden="1" customWidth="1"/>
    <col min="10794" max="10805" width="5" style="236" customWidth="1"/>
    <col min="10806" max="10807" width="0" style="236" hidden="1" customWidth="1"/>
    <col min="10808" max="11010" width="5" style="236"/>
    <col min="11011" max="11011" width="5.08984375" style="236" customWidth="1"/>
    <col min="11012" max="11012" width="5.90625" style="236" customWidth="1"/>
    <col min="11013" max="11013" width="21.54296875" style="236" customWidth="1"/>
    <col min="11014" max="11025" width="5" style="236" customWidth="1"/>
    <col min="11026" max="11026" width="7.1796875" style="236" customWidth="1"/>
    <col min="11027" max="11028" width="0" style="236" hidden="1" customWidth="1"/>
    <col min="11029" max="11043" width="5.08984375" style="236" customWidth="1"/>
    <col min="11044" max="11044" width="6.453125" style="236" customWidth="1"/>
    <col min="11045" max="11045" width="5" style="236" customWidth="1"/>
    <col min="11046" max="11047" width="5.08984375" style="236" customWidth="1"/>
    <col min="11048" max="11049" width="0" style="236" hidden="1" customWidth="1"/>
    <col min="11050" max="11061" width="5" style="236" customWidth="1"/>
    <col min="11062" max="11063" width="0" style="236" hidden="1" customWidth="1"/>
    <col min="11064" max="11266" width="5" style="236"/>
    <col min="11267" max="11267" width="5.08984375" style="236" customWidth="1"/>
    <col min="11268" max="11268" width="5.90625" style="236" customWidth="1"/>
    <col min="11269" max="11269" width="21.54296875" style="236" customWidth="1"/>
    <col min="11270" max="11281" width="5" style="236" customWidth="1"/>
    <col min="11282" max="11282" width="7.1796875" style="236" customWidth="1"/>
    <col min="11283" max="11284" width="0" style="236" hidden="1" customWidth="1"/>
    <col min="11285" max="11299" width="5.08984375" style="236" customWidth="1"/>
    <col min="11300" max="11300" width="6.453125" style="236" customWidth="1"/>
    <col min="11301" max="11301" width="5" style="236" customWidth="1"/>
    <col min="11302" max="11303" width="5.08984375" style="236" customWidth="1"/>
    <col min="11304" max="11305" width="0" style="236" hidden="1" customWidth="1"/>
    <col min="11306" max="11317" width="5" style="236" customWidth="1"/>
    <col min="11318" max="11319" width="0" style="236" hidden="1" customWidth="1"/>
    <col min="11320" max="11522" width="5" style="236"/>
    <col min="11523" max="11523" width="5.08984375" style="236" customWidth="1"/>
    <col min="11524" max="11524" width="5.90625" style="236" customWidth="1"/>
    <col min="11525" max="11525" width="21.54296875" style="236" customWidth="1"/>
    <col min="11526" max="11537" width="5" style="236" customWidth="1"/>
    <col min="11538" max="11538" width="7.1796875" style="236" customWidth="1"/>
    <col min="11539" max="11540" width="0" style="236" hidden="1" customWidth="1"/>
    <col min="11541" max="11555" width="5.08984375" style="236" customWidth="1"/>
    <col min="11556" max="11556" width="6.453125" style="236" customWidth="1"/>
    <col min="11557" max="11557" width="5" style="236" customWidth="1"/>
    <col min="11558" max="11559" width="5.08984375" style="236" customWidth="1"/>
    <col min="11560" max="11561" width="0" style="236" hidden="1" customWidth="1"/>
    <col min="11562" max="11573" width="5" style="236" customWidth="1"/>
    <col min="11574" max="11575" width="0" style="236" hidden="1" customWidth="1"/>
    <col min="11576" max="11778" width="5" style="236"/>
    <col min="11779" max="11779" width="5.08984375" style="236" customWidth="1"/>
    <col min="11780" max="11780" width="5.90625" style="236" customWidth="1"/>
    <col min="11781" max="11781" width="21.54296875" style="236" customWidth="1"/>
    <col min="11782" max="11793" width="5" style="236" customWidth="1"/>
    <col min="11794" max="11794" width="7.1796875" style="236" customWidth="1"/>
    <col min="11795" max="11796" width="0" style="236" hidden="1" customWidth="1"/>
    <col min="11797" max="11811" width="5.08984375" style="236" customWidth="1"/>
    <col min="11812" max="11812" width="6.453125" style="236" customWidth="1"/>
    <col min="11813" max="11813" width="5" style="236" customWidth="1"/>
    <col min="11814" max="11815" width="5.08984375" style="236" customWidth="1"/>
    <col min="11816" max="11817" width="0" style="236" hidden="1" customWidth="1"/>
    <col min="11818" max="11829" width="5" style="236" customWidth="1"/>
    <col min="11830" max="11831" width="0" style="236" hidden="1" customWidth="1"/>
    <col min="11832" max="12034" width="5" style="236"/>
    <col min="12035" max="12035" width="5.08984375" style="236" customWidth="1"/>
    <col min="12036" max="12036" width="5.90625" style="236" customWidth="1"/>
    <col min="12037" max="12037" width="21.54296875" style="236" customWidth="1"/>
    <col min="12038" max="12049" width="5" style="236" customWidth="1"/>
    <col min="12050" max="12050" width="7.1796875" style="236" customWidth="1"/>
    <col min="12051" max="12052" width="0" style="236" hidden="1" customWidth="1"/>
    <col min="12053" max="12067" width="5.08984375" style="236" customWidth="1"/>
    <col min="12068" max="12068" width="6.453125" style="236" customWidth="1"/>
    <col min="12069" max="12069" width="5" style="236" customWidth="1"/>
    <col min="12070" max="12071" width="5.08984375" style="236" customWidth="1"/>
    <col min="12072" max="12073" width="0" style="236" hidden="1" customWidth="1"/>
    <col min="12074" max="12085" width="5" style="236" customWidth="1"/>
    <col min="12086" max="12087" width="0" style="236" hidden="1" customWidth="1"/>
    <col min="12088" max="12290" width="5" style="236"/>
    <col min="12291" max="12291" width="5.08984375" style="236" customWidth="1"/>
    <col min="12292" max="12292" width="5.90625" style="236" customWidth="1"/>
    <col min="12293" max="12293" width="21.54296875" style="236" customWidth="1"/>
    <col min="12294" max="12305" width="5" style="236" customWidth="1"/>
    <col min="12306" max="12306" width="7.1796875" style="236" customWidth="1"/>
    <col min="12307" max="12308" width="0" style="236" hidden="1" customWidth="1"/>
    <col min="12309" max="12323" width="5.08984375" style="236" customWidth="1"/>
    <col min="12324" max="12324" width="6.453125" style="236" customWidth="1"/>
    <col min="12325" max="12325" width="5" style="236" customWidth="1"/>
    <col min="12326" max="12327" width="5.08984375" style="236" customWidth="1"/>
    <col min="12328" max="12329" width="0" style="236" hidden="1" customWidth="1"/>
    <col min="12330" max="12341" width="5" style="236" customWidth="1"/>
    <col min="12342" max="12343" width="0" style="236" hidden="1" customWidth="1"/>
    <col min="12344" max="12546" width="5" style="236"/>
    <col min="12547" max="12547" width="5.08984375" style="236" customWidth="1"/>
    <col min="12548" max="12548" width="5.90625" style="236" customWidth="1"/>
    <col min="12549" max="12549" width="21.54296875" style="236" customWidth="1"/>
    <col min="12550" max="12561" width="5" style="236" customWidth="1"/>
    <col min="12562" max="12562" width="7.1796875" style="236" customWidth="1"/>
    <col min="12563" max="12564" width="0" style="236" hidden="1" customWidth="1"/>
    <col min="12565" max="12579" width="5.08984375" style="236" customWidth="1"/>
    <col min="12580" max="12580" width="6.453125" style="236" customWidth="1"/>
    <col min="12581" max="12581" width="5" style="236" customWidth="1"/>
    <col min="12582" max="12583" width="5.08984375" style="236" customWidth="1"/>
    <col min="12584" max="12585" width="0" style="236" hidden="1" customWidth="1"/>
    <col min="12586" max="12597" width="5" style="236" customWidth="1"/>
    <col min="12598" max="12599" width="0" style="236" hidden="1" customWidth="1"/>
    <col min="12600" max="12802" width="5" style="236"/>
    <col min="12803" max="12803" width="5.08984375" style="236" customWidth="1"/>
    <col min="12804" max="12804" width="5.90625" style="236" customWidth="1"/>
    <col min="12805" max="12805" width="21.54296875" style="236" customWidth="1"/>
    <col min="12806" max="12817" width="5" style="236" customWidth="1"/>
    <col min="12818" max="12818" width="7.1796875" style="236" customWidth="1"/>
    <col min="12819" max="12820" width="0" style="236" hidden="1" customWidth="1"/>
    <col min="12821" max="12835" width="5.08984375" style="236" customWidth="1"/>
    <col min="12836" max="12836" width="6.453125" style="236" customWidth="1"/>
    <col min="12837" max="12837" width="5" style="236" customWidth="1"/>
    <col min="12838" max="12839" width="5.08984375" style="236" customWidth="1"/>
    <col min="12840" max="12841" width="0" style="236" hidden="1" customWidth="1"/>
    <col min="12842" max="12853" width="5" style="236" customWidth="1"/>
    <col min="12854" max="12855" width="0" style="236" hidden="1" customWidth="1"/>
    <col min="12856" max="13058" width="5" style="236"/>
    <col min="13059" max="13059" width="5.08984375" style="236" customWidth="1"/>
    <col min="13060" max="13060" width="5.90625" style="236" customWidth="1"/>
    <col min="13061" max="13061" width="21.54296875" style="236" customWidth="1"/>
    <col min="13062" max="13073" width="5" style="236" customWidth="1"/>
    <col min="13074" max="13074" width="7.1796875" style="236" customWidth="1"/>
    <col min="13075" max="13076" width="0" style="236" hidden="1" customWidth="1"/>
    <col min="13077" max="13091" width="5.08984375" style="236" customWidth="1"/>
    <col min="13092" max="13092" width="6.453125" style="236" customWidth="1"/>
    <col min="13093" max="13093" width="5" style="236" customWidth="1"/>
    <col min="13094" max="13095" width="5.08984375" style="236" customWidth="1"/>
    <col min="13096" max="13097" width="0" style="236" hidden="1" customWidth="1"/>
    <col min="13098" max="13109" width="5" style="236" customWidth="1"/>
    <col min="13110" max="13111" width="0" style="236" hidden="1" customWidth="1"/>
    <col min="13112" max="13314" width="5" style="236"/>
    <col min="13315" max="13315" width="5.08984375" style="236" customWidth="1"/>
    <col min="13316" max="13316" width="5.90625" style="236" customWidth="1"/>
    <col min="13317" max="13317" width="21.54296875" style="236" customWidth="1"/>
    <col min="13318" max="13329" width="5" style="236" customWidth="1"/>
    <col min="13330" max="13330" width="7.1796875" style="236" customWidth="1"/>
    <col min="13331" max="13332" width="0" style="236" hidden="1" customWidth="1"/>
    <col min="13333" max="13347" width="5.08984375" style="236" customWidth="1"/>
    <col min="13348" max="13348" width="6.453125" style="236" customWidth="1"/>
    <col min="13349" max="13349" width="5" style="236" customWidth="1"/>
    <col min="13350" max="13351" width="5.08984375" style="236" customWidth="1"/>
    <col min="13352" max="13353" width="0" style="236" hidden="1" customWidth="1"/>
    <col min="13354" max="13365" width="5" style="236" customWidth="1"/>
    <col min="13366" max="13367" width="0" style="236" hidden="1" customWidth="1"/>
    <col min="13368" max="13570" width="5" style="236"/>
    <col min="13571" max="13571" width="5.08984375" style="236" customWidth="1"/>
    <col min="13572" max="13572" width="5.90625" style="236" customWidth="1"/>
    <col min="13573" max="13573" width="21.54296875" style="236" customWidth="1"/>
    <col min="13574" max="13585" width="5" style="236" customWidth="1"/>
    <col min="13586" max="13586" width="7.1796875" style="236" customWidth="1"/>
    <col min="13587" max="13588" width="0" style="236" hidden="1" customWidth="1"/>
    <col min="13589" max="13603" width="5.08984375" style="236" customWidth="1"/>
    <col min="13604" max="13604" width="6.453125" style="236" customWidth="1"/>
    <col min="13605" max="13605" width="5" style="236" customWidth="1"/>
    <col min="13606" max="13607" width="5.08984375" style="236" customWidth="1"/>
    <col min="13608" max="13609" width="0" style="236" hidden="1" customWidth="1"/>
    <col min="13610" max="13621" width="5" style="236" customWidth="1"/>
    <col min="13622" max="13623" width="0" style="236" hidden="1" customWidth="1"/>
    <col min="13624" max="13826" width="5" style="236"/>
    <col min="13827" max="13827" width="5.08984375" style="236" customWidth="1"/>
    <col min="13828" max="13828" width="5.90625" style="236" customWidth="1"/>
    <col min="13829" max="13829" width="21.54296875" style="236" customWidth="1"/>
    <col min="13830" max="13841" width="5" style="236" customWidth="1"/>
    <col min="13842" max="13842" width="7.1796875" style="236" customWidth="1"/>
    <col min="13843" max="13844" width="0" style="236" hidden="1" customWidth="1"/>
    <col min="13845" max="13859" width="5.08984375" style="236" customWidth="1"/>
    <col min="13860" max="13860" width="6.453125" style="236" customWidth="1"/>
    <col min="13861" max="13861" width="5" style="236" customWidth="1"/>
    <col min="13862" max="13863" width="5.08984375" style="236" customWidth="1"/>
    <col min="13864" max="13865" width="0" style="236" hidden="1" customWidth="1"/>
    <col min="13866" max="13877" width="5" style="236" customWidth="1"/>
    <col min="13878" max="13879" width="0" style="236" hidden="1" customWidth="1"/>
    <col min="13880" max="14082" width="5" style="236"/>
    <col min="14083" max="14083" width="5.08984375" style="236" customWidth="1"/>
    <col min="14084" max="14084" width="5.90625" style="236" customWidth="1"/>
    <col min="14085" max="14085" width="21.54296875" style="236" customWidth="1"/>
    <col min="14086" max="14097" width="5" style="236" customWidth="1"/>
    <col min="14098" max="14098" width="7.1796875" style="236" customWidth="1"/>
    <col min="14099" max="14100" width="0" style="236" hidden="1" customWidth="1"/>
    <col min="14101" max="14115" width="5.08984375" style="236" customWidth="1"/>
    <col min="14116" max="14116" width="6.453125" style="236" customWidth="1"/>
    <col min="14117" max="14117" width="5" style="236" customWidth="1"/>
    <col min="14118" max="14119" width="5.08984375" style="236" customWidth="1"/>
    <col min="14120" max="14121" width="0" style="236" hidden="1" customWidth="1"/>
    <col min="14122" max="14133" width="5" style="236" customWidth="1"/>
    <col min="14134" max="14135" width="0" style="236" hidden="1" customWidth="1"/>
    <col min="14136" max="14338" width="5" style="236"/>
    <col min="14339" max="14339" width="5.08984375" style="236" customWidth="1"/>
    <col min="14340" max="14340" width="5.90625" style="236" customWidth="1"/>
    <col min="14341" max="14341" width="21.54296875" style="236" customWidth="1"/>
    <col min="14342" max="14353" width="5" style="236" customWidth="1"/>
    <col min="14354" max="14354" width="7.1796875" style="236" customWidth="1"/>
    <col min="14355" max="14356" width="0" style="236" hidden="1" customWidth="1"/>
    <col min="14357" max="14371" width="5.08984375" style="236" customWidth="1"/>
    <col min="14372" max="14372" width="6.453125" style="236" customWidth="1"/>
    <col min="14373" max="14373" width="5" style="236" customWidth="1"/>
    <col min="14374" max="14375" width="5.08984375" style="236" customWidth="1"/>
    <col min="14376" max="14377" width="0" style="236" hidden="1" customWidth="1"/>
    <col min="14378" max="14389" width="5" style="236" customWidth="1"/>
    <col min="14390" max="14391" width="0" style="236" hidden="1" customWidth="1"/>
    <col min="14392" max="14594" width="5" style="236"/>
    <col min="14595" max="14595" width="5.08984375" style="236" customWidth="1"/>
    <col min="14596" max="14596" width="5.90625" style="236" customWidth="1"/>
    <col min="14597" max="14597" width="21.54296875" style="236" customWidth="1"/>
    <col min="14598" max="14609" width="5" style="236" customWidth="1"/>
    <col min="14610" max="14610" width="7.1796875" style="236" customWidth="1"/>
    <col min="14611" max="14612" width="0" style="236" hidden="1" customWidth="1"/>
    <col min="14613" max="14627" width="5.08984375" style="236" customWidth="1"/>
    <col min="14628" max="14628" width="6.453125" style="236" customWidth="1"/>
    <col min="14629" max="14629" width="5" style="236" customWidth="1"/>
    <col min="14630" max="14631" width="5.08984375" style="236" customWidth="1"/>
    <col min="14632" max="14633" width="0" style="236" hidden="1" customWidth="1"/>
    <col min="14634" max="14645" width="5" style="236" customWidth="1"/>
    <col min="14646" max="14647" width="0" style="236" hidden="1" customWidth="1"/>
    <col min="14648" max="14850" width="5" style="236"/>
    <col min="14851" max="14851" width="5.08984375" style="236" customWidth="1"/>
    <col min="14852" max="14852" width="5.90625" style="236" customWidth="1"/>
    <col min="14853" max="14853" width="21.54296875" style="236" customWidth="1"/>
    <col min="14854" max="14865" width="5" style="236" customWidth="1"/>
    <col min="14866" max="14866" width="7.1796875" style="236" customWidth="1"/>
    <col min="14867" max="14868" width="0" style="236" hidden="1" customWidth="1"/>
    <col min="14869" max="14883" width="5.08984375" style="236" customWidth="1"/>
    <col min="14884" max="14884" width="6.453125" style="236" customWidth="1"/>
    <col min="14885" max="14885" width="5" style="236" customWidth="1"/>
    <col min="14886" max="14887" width="5.08984375" style="236" customWidth="1"/>
    <col min="14888" max="14889" width="0" style="236" hidden="1" customWidth="1"/>
    <col min="14890" max="14901" width="5" style="236" customWidth="1"/>
    <col min="14902" max="14903" width="0" style="236" hidden="1" customWidth="1"/>
    <col min="14904" max="15106" width="5" style="236"/>
    <col min="15107" max="15107" width="5.08984375" style="236" customWidth="1"/>
    <col min="15108" max="15108" width="5.90625" style="236" customWidth="1"/>
    <col min="15109" max="15109" width="21.54296875" style="236" customWidth="1"/>
    <col min="15110" max="15121" width="5" style="236" customWidth="1"/>
    <col min="15122" max="15122" width="7.1796875" style="236" customWidth="1"/>
    <col min="15123" max="15124" width="0" style="236" hidden="1" customWidth="1"/>
    <col min="15125" max="15139" width="5.08984375" style="236" customWidth="1"/>
    <col min="15140" max="15140" width="6.453125" style="236" customWidth="1"/>
    <col min="15141" max="15141" width="5" style="236" customWidth="1"/>
    <col min="15142" max="15143" width="5.08984375" style="236" customWidth="1"/>
    <col min="15144" max="15145" width="0" style="236" hidden="1" customWidth="1"/>
    <col min="15146" max="15157" width="5" style="236" customWidth="1"/>
    <col min="15158" max="15159" width="0" style="236" hidden="1" customWidth="1"/>
    <col min="15160" max="15362" width="5" style="236"/>
    <col min="15363" max="15363" width="5.08984375" style="236" customWidth="1"/>
    <col min="15364" max="15364" width="5.90625" style="236" customWidth="1"/>
    <col min="15365" max="15365" width="21.54296875" style="236" customWidth="1"/>
    <col min="15366" max="15377" width="5" style="236" customWidth="1"/>
    <col min="15378" max="15378" width="7.1796875" style="236" customWidth="1"/>
    <col min="15379" max="15380" width="0" style="236" hidden="1" customWidth="1"/>
    <col min="15381" max="15395" width="5.08984375" style="236" customWidth="1"/>
    <col min="15396" max="15396" width="6.453125" style="236" customWidth="1"/>
    <col min="15397" max="15397" width="5" style="236" customWidth="1"/>
    <col min="15398" max="15399" width="5.08984375" style="236" customWidth="1"/>
    <col min="15400" max="15401" width="0" style="236" hidden="1" customWidth="1"/>
    <col min="15402" max="15413" width="5" style="236" customWidth="1"/>
    <col min="15414" max="15415" width="0" style="236" hidden="1" customWidth="1"/>
    <col min="15416" max="15618" width="5" style="236"/>
    <col min="15619" max="15619" width="5.08984375" style="236" customWidth="1"/>
    <col min="15620" max="15620" width="5.90625" style="236" customWidth="1"/>
    <col min="15621" max="15621" width="21.54296875" style="236" customWidth="1"/>
    <col min="15622" max="15633" width="5" style="236" customWidth="1"/>
    <col min="15634" max="15634" width="7.1796875" style="236" customWidth="1"/>
    <col min="15635" max="15636" width="0" style="236" hidden="1" customWidth="1"/>
    <col min="15637" max="15651" width="5.08984375" style="236" customWidth="1"/>
    <col min="15652" max="15652" width="6.453125" style="236" customWidth="1"/>
    <col min="15653" max="15653" width="5" style="236" customWidth="1"/>
    <col min="15654" max="15655" width="5.08984375" style="236" customWidth="1"/>
    <col min="15656" max="15657" width="0" style="236" hidden="1" customWidth="1"/>
    <col min="15658" max="15669" width="5" style="236" customWidth="1"/>
    <col min="15670" max="15671" width="0" style="236" hidden="1" customWidth="1"/>
    <col min="15672" max="15874" width="5" style="236"/>
    <col min="15875" max="15875" width="5.08984375" style="236" customWidth="1"/>
    <col min="15876" max="15876" width="5.90625" style="236" customWidth="1"/>
    <col min="15877" max="15877" width="21.54296875" style="236" customWidth="1"/>
    <col min="15878" max="15889" width="5" style="236" customWidth="1"/>
    <col min="15890" max="15890" width="7.1796875" style="236" customWidth="1"/>
    <col min="15891" max="15892" width="0" style="236" hidden="1" customWidth="1"/>
    <col min="15893" max="15907" width="5.08984375" style="236" customWidth="1"/>
    <col min="15908" max="15908" width="6.453125" style="236" customWidth="1"/>
    <col min="15909" max="15909" width="5" style="236" customWidth="1"/>
    <col min="15910" max="15911" width="5.08984375" style="236" customWidth="1"/>
    <col min="15912" max="15913" width="0" style="236" hidden="1" customWidth="1"/>
    <col min="15914" max="15925" width="5" style="236" customWidth="1"/>
    <col min="15926" max="15927" width="0" style="236" hidden="1" customWidth="1"/>
    <col min="15928" max="16130" width="5" style="236"/>
    <col min="16131" max="16131" width="5.08984375" style="236" customWidth="1"/>
    <col min="16132" max="16132" width="5.90625" style="236" customWidth="1"/>
    <col min="16133" max="16133" width="21.54296875" style="236" customWidth="1"/>
    <col min="16134" max="16145" width="5" style="236" customWidth="1"/>
    <col min="16146" max="16146" width="7.1796875" style="236" customWidth="1"/>
    <col min="16147" max="16148" width="0" style="236" hidden="1" customWidth="1"/>
    <col min="16149" max="16163" width="5.08984375" style="236" customWidth="1"/>
    <col min="16164" max="16164" width="6.453125" style="236" customWidth="1"/>
    <col min="16165" max="16165" width="5" style="236" customWidth="1"/>
    <col min="16166" max="16167" width="5.08984375" style="236" customWidth="1"/>
    <col min="16168" max="16169" width="0" style="236" hidden="1" customWidth="1"/>
    <col min="16170" max="16181" width="5" style="236" customWidth="1"/>
    <col min="16182" max="16183" width="0" style="236" hidden="1" customWidth="1"/>
    <col min="16184" max="16384" width="5" style="236"/>
  </cols>
  <sheetData>
    <row r="1" spans="1:68" ht="14.25" customHeight="1">
      <c r="A1" s="233"/>
      <c r="B1" s="969" t="s">
        <v>865</v>
      </c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234"/>
      <c r="T1" s="970" t="s">
        <v>866</v>
      </c>
      <c r="U1" s="970"/>
      <c r="V1" s="970"/>
      <c r="W1" s="970"/>
      <c r="X1" s="970"/>
      <c r="Y1" s="970"/>
      <c r="Z1" s="970"/>
      <c r="AA1" s="970"/>
      <c r="AB1" s="970"/>
      <c r="AC1" s="970"/>
      <c r="AD1" s="970"/>
      <c r="AE1" s="970"/>
      <c r="AF1" s="970"/>
      <c r="AG1" s="970"/>
      <c r="AH1" s="970"/>
      <c r="AI1" s="970"/>
      <c r="AJ1" s="970"/>
      <c r="AK1" s="970"/>
      <c r="AL1" s="970"/>
      <c r="AM1" s="970"/>
      <c r="AN1" s="235"/>
      <c r="AO1" s="970" t="s">
        <v>867</v>
      </c>
      <c r="AP1" s="970"/>
      <c r="AQ1" s="970"/>
      <c r="AR1" s="970"/>
      <c r="AS1" s="970"/>
      <c r="AT1" s="970"/>
      <c r="AU1" s="970"/>
      <c r="AV1" s="970"/>
      <c r="AW1" s="970"/>
      <c r="AX1" s="970"/>
      <c r="AY1" s="970"/>
      <c r="AZ1" s="970"/>
      <c r="BA1" s="970"/>
      <c r="BB1" s="235"/>
      <c r="BC1" s="971" t="s">
        <v>868</v>
      </c>
      <c r="BD1" s="972"/>
      <c r="BE1" s="972"/>
      <c r="BF1" s="972"/>
      <c r="BG1" s="972"/>
      <c r="BH1" s="972"/>
      <c r="BI1" s="972"/>
      <c r="BJ1" s="972"/>
      <c r="BK1" s="972"/>
      <c r="BL1" s="972"/>
      <c r="BM1" s="972"/>
      <c r="BN1" s="972"/>
      <c r="BO1" s="972"/>
      <c r="BP1" s="973"/>
    </row>
    <row r="2" spans="1:68" ht="14.25" customHeight="1">
      <c r="A2" s="233"/>
      <c r="B2" s="969"/>
      <c r="C2" s="969"/>
      <c r="D2" s="969"/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69"/>
      <c r="P2" s="969"/>
      <c r="Q2" s="969"/>
      <c r="R2" s="969"/>
      <c r="S2" s="234"/>
      <c r="T2" s="968" t="s">
        <v>869</v>
      </c>
      <c r="U2" s="968" t="s">
        <v>870</v>
      </c>
      <c r="V2" s="968"/>
      <c r="W2" s="968" t="s">
        <v>871</v>
      </c>
      <c r="X2" s="968"/>
      <c r="Y2" s="968" t="s">
        <v>872</v>
      </c>
      <c r="Z2" s="968" t="s">
        <v>873</v>
      </c>
      <c r="AA2" s="968" t="s">
        <v>874</v>
      </c>
      <c r="AB2" s="968" t="s">
        <v>875</v>
      </c>
      <c r="AC2" s="968"/>
      <c r="AD2" s="968"/>
      <c r="AE2" s="968"/>
      <c r="AF2" s="968"/>
      <c r="AG2" s="968"/>
      <c r="AH2" s="968" t="s">
        <v>876</v>
      </c>
      <c r="AI2" s="968" t="s">
        <v>877</v>
      </c>
      <c r="AJ2" s="968" t="s">
        <v>878</v>
      </c>
      <c r="AK2" s="968" t="s">
        <v>879</v>
      </c>
      <c r="AL2" s="968" t="s">
        <v>880</v>
      </c>
      <c r="AM2" s="968" t="s">
        <v>881</v>
      </c>
      <c r="AN2" s="235"/>
      <c r="AO2" s="968" t="s">
        <v>882</v>
      </c>
      <c r="AP2" s="967" t="s">
        <v>883</v>
      </c>
      <c r="AQ2" s="967" t="s">
        <v>884</v>
      </c>
      <c r="AR2" s="967" t="s">
        <v>885</v>
      </c>
      <c r="AS2" s="967" t="s">
        <v>886</v>
      </c>
      <c r="AT2" s="967" t="s">
        <v>887</v>
      </c>
      <c r="AU2" s="967" t="s">
        <v>888</v>
      </c>
      <c r="AV2" s="967" t="s">
        <v>889</v>
      </c>
      <c r="AW2" s="967" t="s">
        <v>890</v>
      </c>
      <c r="AX2" s="967" t="s">
        <v>891</v>
      </c>
      <c r="AY2" s="967" t="s">
        <v>892</v>
      </c>
      <c r="AZ2" s="967" t="s">
        <v>893</v>
      </c>
      <c r="BA2" s="967" t="s">
        <v>894</v>
      </c>
      <c r="BB2" s="237"/>
      <c r="BC2" s="974"/>
      <c r="BD2" s="975"/>
      <c r="BE2" s="975"/>
      <c r="BF2" s="975"/>
      <c r="BG2" s="975"/>
      <c r="BH2" s="975"/>
      <c r="BI2" s="975"/>
      <c r="BJ2" s="975"/>
      <c r="BK2" s="975"/>
      <c r="BL2" s="975"/>
      <c r="BM2" s="975"/>
      <c r="BN2" s="975"/>
      <c r="BO2" s="975"/>
      <c r="BP2" s="976"/>
    </row>
    <row r="3" spans="1:68" ht="14.25" customHeight="1">
      <c r="A3" s="233"/>
      <c r="B3" s="238"/>
      <c r="C3" s="239" t="s">
        <v>895</v>
      </c>
      <c r="D3" s="239" t="s">
        <v>896</v>
      </c>
      <c r="E3" s="239" t="s">
        <v>119</v>
      </c>
      <c r="F3" s="240" t="s">
        <v>897</v>
      </c>
      <c r="G3" s="240" t="s">
        <v>898</v>
      </c>
      <c r="H3" s="240" t="s">
        <v>899</v>
      </c>
      <c r="I3" s="240" t="s">
        <v>900</v>
      </c>
      <c r="J3" s="240" t="s">
        <v>901</v>
      </c>
      <c r="K3" s="240" t="s">
        <v>902</v>
      </c>
      <c r="L3" s="240" t="s">
        <v>903</v>
      </c>
      <c r="M3" s="240" t="s">
        <v>904</v>
      </c>
      <c r="N3" s="240" t="s">
        <v>905</v>
      </c>
      <c r="O3" s="240" t="s">
        <v>906</v>
      </c>
      <c r="P3" s="240" t="s">
        <v>907</v>
      </c>
      <c r="Q3" s="240" t="s">
        <v>908</v>
      </c>
      <c r="R3" s="240" t="s">
        <v>909</v>
      </c>
      <c r="S3" s="234"/>
      <c r="T3" s="968"/>
      <c r="U3" s="239">
        <v>0.98</v>
      </c>
      <c r="V3" s="239">
        <v>0.92</v>
      </c>
      <c r="W3" s="239">
        <v>0.98</v>
      </c>
      <c r="X3" s="239">
        <v>0.92</v>
      </c>
      <c r="Y3" s="968"/>
      <c r="Z3" s="968"/>
      <c r="AA3" s="968"/>
      <c r="AB3" s="239" t="s">
        <v>910</v>
      </c>
      <c r="AC3" s="239" t="s">
        <v>911</v>
      </c>
      <c r="AD3" s="239" t="s">
        <v>910</v>
      </c>
      <c r="AE3" s="239" t="s">
        <v>911</v>
      </c>
      <c r="AF3" s="239" t="s">
        <v>910</v>
      </c>
      <c r="AG3" s="239" t="s">
        <v>911</v>
      </c>
      <c r="AH3" s="968"/>
      <c r="AI3" s="968"/>
      <c r="AJ3" s="968"/>
      <c r="AK3" s="968"/>
      <c r="AL3" s="968"/>
      <c r="AM3" s="968"/>
      <c r="AN3" s="241"/>
      <c r="AO3" s="968"/>
      <c r="AP3" s="967"/>
      <c r="AQ3" s="967"/>
      <c r="AR3" s="967"/>
      <c r="AS3" s="967"/>
      <c r="AT3" s="967"/>
      <c r="AU3" s="967"/>
      <c r="AV3" s="967"/>
      <c r="AW3" s="967"/>
      <c r="AX3" s="967"/>
      <c r="AY3" s="967"/>
      <c r="AZ3" s="967"/>
      <c r="BA3" s="967"/>
      <c r="BB3" s="237"/>
      <c r="BC3" s="239" t="s">
        <v>912</v>
      </c>
      <c r="BD3" s="239" t="s">
        <v>913</v>
      </c>
      <c r="BE3" s="239" t="s">
        <v>914</v>
      </c>
      <c r="BF3" s="239" t="s">
        <v>915</v>
      </c>
      <c r="BG3" s="239" t="s">
        <v>916</v>
      </c>
      <c r="BH3" s="239" t="s">
        <v>917</v>
      </c>
      <c r="BI3" s="239" t="s">
        <v>918</v>
      </c>
      <c r="BJ3" s="239" t="s">
        <v>919</v>
      </c>
      <c r="BK3" s="239" t="s">
        <v>904</v>
      </c>
      <c r="BL3" s="239" t="s">
        <v>920</v>
      </c>
      <c r="BM3" s="239" t="s">
        <v>921</v>
      </c>
      <c r="BN3" s="239" t="s">
        <v>922</v>
      </c>
      <c r="BO3" s="239" t="s">
        <v>923</v>
      </c>
      <c r="BP3" s="239" t="s">
        <v>924</v>
      </c>
    </row>
    <row r="4" spans="1:68" ht="14.25" customHeight="1">
      <c r="A4" s="233"/>
      <c r="B4" s="237"/>
      <c r="C4" s="237" t="s">
        <v>925</v>
      </c>
      <c r="D4" s="237" t="s">
        <v>926</v>
      </c>
      <c r="E4" s="242" t="s">
        <v>927</v>
      </c>
      <c r="F4" s="243">
        <v>2</v>
      </c>
      <c r="G4" s="243">
        <v>3</v>
      </c>
      <c r="H4" s="243">
        <v>4</v>
      </c>
      <c r="I4" s="243">
        <v>5</v>
      </c>
      <c r="J4" s="243">
        <v>6</v>
      </c>
      <c r="K4" s="243">
        <v>7</v>
      </c>
      <c r="L4" s="243">
        <v>8</v>
      </c>
      <c r="M4" s="243">
        <v>9</v>
      </c>
      <c r="N4" s="243">
        <v>10</v>
      </c>
      <c r="O4" s="243">
        <v>11</v>
      </c>
      <c r="P4" s="243">
        <v>12</v>
      </c>
      <c r="Q4" s="243">
        <v>13</v>
      </c>
      <c r="R4" s="243">
        <v>14</v>
      </c>
      <c r="S4" s="234"/>
      <c r="T4" s="242">
        <v>1</v>
      </c>
      <c r="U4" s="242">
        <v>2</v>
      </c>
      <c r="V4" s="242">
        <v>3</v>
      </c>
      <c r="W4" s="242">
        <v>4</v>
      </c>
      <c r="X4" s="242">
        <v>5</v>
      </c>
      <c r="Y4" s="242">
        <v>6</v>
      </c>
      <c r="Z4" s="242">
        <v>7</v>
      </c>
      <c r="AA4" s="242">
        <v>8</v>
      </c>
      <c r="AB4" s="242">
        <v>9</v>
      </c>
      <c r="AC4" s="242">
        <v>10</v>
      </c>
      <c r="AD4" s="242">
        <v>11</v>
      </c>
      <c r="AE4" s="242">
        <v>12</v>
      </c>
      <c r="AF4" s="242">
        <v>13</v>
      </c>
      <c r="AG4" s="242">
        <v>14</v>
      </c>
      <c r="AH4" s="242">
        <v>15</v>
      </c>
      <c r="AI4" s="242">
        <v>16</v>
      </c>
      <c r="AJ4" s="242">
        <v>17</v>
      </c>
      <c r="AK4" s="242">
        <v>18</v>
      </c>
      <c r="AL4" s="242">
        <v>19</v>
      </c>
      <c r="AM4" s="242">
        <v>20</v>
      </c>
      <c r="AN4" s="241"/>
      <c r="AO4" s="242">
        <v>1</v>
      </c>
      <c r="AP4" s="242">
        <v>2</v>
      </c>
      <c r="AQ4" s="242">
        <v>3</v>
      </c>
      <c r="AR4" s="242">
        <v>4</v>
      </c>
      <c r="AS4" s="242">
        <v>5</v>
      </c>
      <c r="AT4" s="242">
        <v>6</v>
      </c>
      <c r="AU4" s="242">
        <v>7</v>
      </c>
      <c r="AV4" s="242">
        <v>8</v>
      </c>
      <c r="AW4" s="242">
        <v>9</v>
      </c>
      <c r="AX4" s="242">
        <v>10</v>
      </c>
      <c r="AY4" s="242">
        <v>11</v>
      </c>
      <c r="AZ4" s="242">
        <v>12</v>
      </c>
      <c r="BA4" s="242">
        <v>13</v>
      </c>
      <c r="BB4" s="237"/>
      <c r="BC4" s="242">
        <v>1</v>
      </c>
      <c r="BD4" s="242">
        <v>2</v>
      </c>
      <c r="BE4" s="242">
        <v>3</v>
      </c>
      <c r="BF4" s="242">
        <v>4</v>
      </c>
      <c r="BG4" s="242">
        <v>5</v>
      </c>
      <c r="BH4" s="242">
        <v>6</v>
      </c>
      <c r="BI4" s="242">
        <v>7</v>
      </c>
      <c r="BJ4" s="242">
        <v>8</v>
      </c>
      <c r="BK4" s="242">
        <v>9</v>
      </c>
      <c r="BL4" s="242">
        <v>10</v>
      </c>
      <c r="BM4" s="242">
        <v>11</v>
      </c>
      <c r="BN4" s="242">
        <v>12</v>
      </c>
      <c r="BO4" s="242">
        <v>13</v>
      </c>
      <c r="BP4" s="242">
        <v>14</v>
      </c>
    </row>
    <row r="5" spans="1:68" ht="14.25" hidden="1" customHeight="1" outlineLevel="1">
      <c r="A5" s="233"/>
      <c r="B5" s="237"/>
      <c r="C5" s="237"/>
      <c r="D5" s="237"/>
      <c r="E5" s="242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34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1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37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</row>
    <row r="6" spans="1:68" ht="14.25" hidden="1" customHeight="1" outlineLevel="1">
      <c r="A6" s="233"/>
      <c r="B6" s="237"/>
      <c r="C6" s="237"/>
      <c r="D6" s="237"/>
      <c r="E6" s="242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34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1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37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</row>
    <row r="7" spans="1:68" ht="14.25" hidden="1" customHeight="1" outlineLevel="1">
      <c r="A7" s="233"/>
      <c r="B7" s="237"/>
      <c r="C7" s="237"/>
      <c r="D7" s="237"/>
      <c r="E7" s="242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34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1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37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</row>
    <row r="8" spans="1:68" ht="14.25" hidden="1" customHeight="1" outlineLevel="1">
      <c r="A8" s="233"/>
      <c r="B8" s="237"/>
      <c r="C8" s="237"/>
      <c r="D8" s="237"/>
      <c r="E8" s="242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34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1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37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</row>
    <row r="9" spans="1:68" ht="14.25" hidden="1" customHeight="1" outlineLevel="1">
      <c r="A9" s="233"/>
      <c r="B9" s="237"/>
      <c r="C9" s="237"/>
      <c r="D9" s="237"/>
      <c r="E9" s="242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34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1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37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</row>
    <row r="10" spans="1:68" ht="14.25" hidden="1" customHeight="1" outlineLevel="1">
      <c r="A10" s="233"/>
      <c r="B10" s="237"/>
      <c r="C10" s="237"/>
      <c r="D10" s="237"/>
      <c r="E10" s="242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34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1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37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</row>
    <row r="11" spans="1:68" ht="14.25" hidden="1" customHeight="1" outlineLevel="1">
      <c r="A11" s="233"/>
      <c r="B11" s="237"/>
      <c r="C11" s="237"/>
      <c r="D11" s="237"/>
      <c r="E11" s="242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34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1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37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</row>
    <row r="12" spans="1:68" ht="14.25" hidden="1" customHeight="1" outlineLevel="1">
      <c r="A12" s="233"/>
      <c r="B12" s="237"/>
      <c r="C12" s="237"/>
      <c r="D12" s="237"/>
      <c r="E12" s="242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34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1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37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</row>
    <row r="13" spans="1:68" ht="14.25" hidden="1" customHeight="1" outlineLevel="1">
      <c r="A13" s="233"/>
      <c r="B13" s="237"/>
      <c r="C13" s="237"/>
      <c r="D13" s="237"/>
      <c r="E13" s="242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34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1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37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</row>
    <row r="14" spans="1:68" ht="14.25" hidden="1" customHeight="1" outlineLevel="1">
      <c r="A14" s="233"/>
      <c r="B14" s="237"/>
      <c r="C14" s="237"/>
      <c r="D14" s="237"/>
      <c r="E14" s="242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34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1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37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</row>
    <row r="15" spans="1:68" ht="14.25" hidden="1" customHeight="1" outlineLevel="1">
      <c r="A15" s="233"/>
      <c r="B15" s="237"/>
      <c r="C15" s="237"/>
      <c r="D15" s="237"/>
      <c r="E15" s="242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34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1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37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</row>
    <row r="16" spans="1:68" ht="14.25" hidden="1" customHeight="1" outlineLevel="1">
      <c r="A16" s="233"/>
      <c r="B16" s="237"/>
      <c r="C16" s="237"/>
      <c r="D16" s="237"/>
      <c r="E16" s="242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34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1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37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</row>
    <row r="17" spans="1:68" ht="14.25" hidden="1" customHeight="1" outlineLevel="1">
      <c r="A17" s="233"/>
      <c r="B17" s="237"/>
      <c r="C17" s="237"/>
      <c r="D17" s="237"/>
      <c r="E17" s="242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34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1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37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</row>
    <row r="18" spans="1:68" ht="14.25" hidden="1" customHeight="1" outlineLevel="1">
      <c r="A18" s="233"/>
      <c r="B18" s="237"/>
      <c r="C18" s="237"/>
      <c r="D18" s="237"/>
      <c r="E18" s="242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34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1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37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</row>
    <row r="19" spans="1:68" ht="14.25" hidden="1" customHeight="1" outlineLevel="1">
      <c r="A19" s="233"/>
      <c r="B19" s="237"/>
      <c r="C19" s="237"/>
      <c r="D19" s="237"/>
      <c r="E19" s="242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34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1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37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</row>
    <row r="20" spans="1:68" ht="14.25" hidden="1" customHeight="1" outlineLevel="1">
      <c r="A20" s="233"/>
      <c r="B20" s="237"/>
      <c r="C20" s="237"/>
      <c r="D20" s="237"/>
      <c r="E20" s="242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34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1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37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</row>
    <row r="21" spans="1:68" ht="14.25" hidden="1" customHeight="1" outlineLevel="1">
      <c r="A21" s="233"/>
      <c r="B21" s="237"/>
      <c r="C21" s="237"/>
      <c r="D21" s="237"/>
      <c r="E21" s="242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34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1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37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</row>
    <row r="22" spans="1:68" ht="14.25" hidden="1" customHeight="1" outlineLevel="1">
      <c r="A22" s="233"/>
      <c r="B22" s="237"/>
      <c r="C22" s="237"/>
      <c r="D22" s="237"/>
      <c r="E22" s="242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34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1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37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</row>
    <row r="23" spans="1:68" ht="14.25" hidden="1" customHeight="1" outlineLevel="1">
      <c r="A23" s="233"/>
      <c r="B23" s="237"/>
      <c r="C23" s="237"/>
      <c r="D23" s="237"/>
      <c r="E23" s="242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34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1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37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</row>
    <row r="24" spans="1:68" ht="14.25" hidden="1" customHeight="1" outlineLevel="1">
      <c r="A24" s="233"/>
      <c r="B24" s="237"/>
      <c r="C24" s="237"/>
      <c r="D24" s="237"/>
      <c r="E24" s="242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34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1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37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</row>
    <row r="25" spans="1:68" ht="14.25" hidden="1" customHeight="1" outlineLevel="1">
      <c r="A25" s="233"/>
      <c r="B25" s="237"/>
      <c r="C25" s="237"/>
      <c r="D25" s="237"/>
      <c r="E25" s="242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34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1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37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</row>
    <row r="26" spans="1:68" ht="14.25" hidden="1" customHeight="1" outlineLevel="1">
      <c r="A26" s="233"/>
      <c r="B26" s="237"/>
      <c r="C26" s="237"/>
      <c r="D26" s="237"/>
      <c r="E26" s="242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34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1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37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</row>
    <row r="27" spans="1:68" ht="14.25" hidden="1" customHeight="1" outlineLevel="1">
      <c r="A27" s="233"/>
      <c r="B27" s="237"/>
      <c r="C27" s="237"/>
      <c r="D27" s="237"/>
      <c r="E27" s="242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34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1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37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</row>
    <row r="28" spans="1:68" ht="14.25" hidden="1" customHeight="1" outlineLevel="1">
      <c r="A28" s="233"/>
      <c r="B28" s="237"/>
      <c r="C28" s="237"/>
      <c r="D28" s="237"/>
      <c r="E28" s="242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34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1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37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</row>
    <row r="29" spans="1:68" ht="14.25" hidden="1" customHeight="1" outlineLevel="1">
      <c r="A29" s="233"/>
      <c r="B29" s="237"/>
      <c r="C29" s="237"/>
      <c r="D29" s="237"/>
      <c r="E29" s="242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34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1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37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</row>
    <row r="30" spans="1:68" ht="14.25" hidden="1" customHeight="1" outlineLevel="1">
      <c r="A30" s="233"/>
      <c r="B30" s="237"/>
      <c r="C30" s="237"/>
      <c r="D30" s="237"/>
      <c r="E30" s="242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34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1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37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</row>
    <row r="31" spans="1:68" ht="14.25" hidden="1" customHeight="1" outlineLevel="1">
      <c r="A31" s="233"/>
      <c r="B31" s="237"/>
      <c r="C31" s="237"/>
      <c r="D31" s="237"/>
      <c r="E31" s="242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34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1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37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</row>
    <row r="32" spans="1:68" ht="14.25" hidden="1" customHeight="1" outlineLevel="1">
      <c r="A32" s="233"/>
      <c r="B32" s="237"/>
      <c r="C32" s="237"/>
      <c r="D32" s="237"/>
      <c r="E32" s="242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34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1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37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</row>
    <row r="33" spans="1:68" ht="14.25" hidden="1" customHeight="1" outlineLevel="1">
      <c r="A33" s="233"/>
      <c r="B33" s="237"/>
      <c r="C33" s="237"/>
      <c r="D33" s="237"/>
      <c r="E33" s="242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34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1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37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</row>
    <row r="34" spans="1:68" ht="14.25" hidden="1" customHeight="1" outlineLevel="1">
      <c r="A34" s="233"/>
      <c r="B34" s="237"/>
      <c r="C34" s="237"/>
      <c r="D34" s="237"/>
      <c r="E34" s="242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34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1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37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</row>
    <row r="35" spans="1:68" ht="14.25" hidden="1" customHeight="1" outlineLevel="1">
      <c r="A35" s="233"/>
      <c r="B35" s="237"/>
      <c r="C35" s="237"/>
      <c r="D35" s="237"/>
      <c r="E35" s="242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34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1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37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</row>
    <row r="36" spans="1:68" ht="14.25" hidden="1" customHeight="1" outlineLevel="1">
      <c r="A36" s="233"/>
      <c r="B36" s="237"/>
      <c r="C36" s="237"/>
      <c r="D36" s="237"/>
      <c r="E36" s="242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34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1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37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</row>
    <row r="37" spans="1:68" ht="14.25" hidden="1" customHeight="1" outlineLevel="1">
      <c r="A37" s="233"/>
      <c r="B37" s="237"/>
      <c r="C37" s="237"/>
      <c r="D37" s="237"/>
      <c r="E37" s="242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34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1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37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</row>
    <row r="38" spans="1:68" ht="14.25" hidden="1" customHeight="1" outlineLevel="1">
      <c r="A38" s="233"/>
      <c r="B38" s="237"/>
      <c r="C38" s="237"/>
      <c r="D38" s="237"/>
      <c r="E38" s="242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34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1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37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</row>
    <row r="39" spans="1:68" ht="14.25" hidden="1" customHeight="1" outlineLevel="1">
      <c r="A39" s="233"/>
      <c r="B39" s="237"/>
      <c r="C39" s="237"/>
      <c r="D39" s="237"/>
      <c r="E39" s="242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34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1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37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</row>
    <row r="40" spans="1:68" ht="14.25" hidden="1" customHeight="1" outlineLevel="1">
      <c r="A40" s="233"/>
      <c r="B40" s="237"/>
      <c r="C40" s="237"/>
      <c r="D40" s="237"/>
      <c r="E40" s="242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34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1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37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</row>
    <row r="41" spans="1:68" ht="14.25" hidden="1" customHeight="1" outlineLevel="1">
      <c r="A41" s="233"/>
      <c r="B41" s="237"/>
      <c r="C41" s="237"/>
      <c r="D41" s="237"/>
      <c r="E41" s="242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34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1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37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</row>
    <row r="42" spans="1:68" ht="14.25" hidden="1" customHeight="1" outlineLevel="1">
      <c r="A42" s="233"/>
      <c r="B42" s="237"/>
      <c r="C42" s="237"/>
      <c r="D42" s="237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34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1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37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</row>
    <row r="43" spans="1:68" ht="14.25" hidden="1" customHeight="1" outlineLevel="1">
      <c r="A43" s="233"/>
      <c r="B43" s="237"/>
      <c r="C43" s="237"/>
      <c r="D43" s="237"/>
      <c r="E43" s="242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34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1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37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</row>
    <row r="44" spans="1:68" ht="14.25" hidden="1" customHeight="1" outlineLevel="1">
      <c r="A44" s="233"/>
      <c r="B44" s="237"/>
      <c r="C44" s="237"/>
      <c r="D44" s="237"/>
      <c r="E44" s="242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34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1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37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</row>
    <row r="45" spans="1:68" ht="14.25" hidden="1" customHeight="1" outlineLevel="1">
      <c r="A45" s="233"/>
      <c r="B45" s="237"/>
      <c r="C45" s="237"/>
      <c r="D45" s="237"/>
      <c r="E45" s="242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34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1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37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</row>
    <row r="46" spans="1:68" ht="14.25" hidden="1" customHeight="1" outlineLevel="1">
      <c r="A46" s="233"/>
      <c r="B46" s="237"/>
      <c r="C46" s="237"/>
      <c r="D46" s="237"/>
      <c r="E46" s="242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34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1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37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</row>
    <row r="47" spans="1:68" ht="14.25" hidden="1" customHeight="1" outlineLevel="1">
      <c r="A47" s="233"/>
      <c r="B47" s="237"/>
      <c r="C47" s="237"/>
      <c r="D47" s="237"/>
      <c r="E47" s="242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34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1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37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</row>
    <row r="48" spans="1:68" ht="14.25" hidden="1" customHeight="1" outlineLevel="1">
      <c r="A48" s="233"/>
      <c r="B48" s="237"/>
      <c r="C48" s="237"/>
      <c r="D48" s="237"/>
      <c r="E48" s="242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34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1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37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</row>
    <row r="49" spans="1:68" ht="14.25" hidden="1" customHeight="1" outlineLevel="1">
      <c r="A49" s="233"/>
      <c r="B49" s="237"/>
      <c r="C49" s="237"/>
      <c r="D49" s="237"/>
      <c r="E49" s="242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34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1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37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</row>
    <row r="50" spans="1:68" ht="14.25" hidden="1" customHeight="1" outlineLevel="1">
      <c r="A50" s="233"/>
      <c r="B50" s="237"/>
      <c r="C50" s="237"/>
      <c r="D50" s="237"/>
      <c r="E50" s="242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34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1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37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</row>
    <row r="51" spans="1:68" ht="14.25" hidden="1" customHeight="1" outlineLevel="1">
      <c r="A51" s="233"/>
      <c r="B51" s="237"/>
      <c r="C51" s="237"/>
      <c r="D51" s="237"/>
      <c r="E51" s="242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34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1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37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</row>
    <row r="52" spans="1:68" ht="14.25" hidden="1" customHeight="1" outlineLevel="1">
      <c r="A52" s="233"/>
      <c r="B52" s="237"/>
      <c r="C52" s="237"/>
      <c r="D52" s="237"/>
      <c r="E52" s="242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34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1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37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</row>
    <row r="53" spans="1:68" ht="14.25" hidden="1" customHeight="1" outlineLevel="1">
      <c r="A53" s="233"/>
      <c r="B53" s="237"/>
      <c r="C53" s="237"/>
      <c r="D53" s="237"/>
      <c r="E53" s="242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34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1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37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</row>
    <row r="54" spans="1:68" ht="14.25" hidden="1" customHeight="1" outlineLevel="1">
      <c r="A54" s="233"/>
      <c r="B54" s="237"/>
      <c r="C54" s="237"/>
      <c r="D54" s="237"/>
      <c r="E54" s="242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34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1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37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</row>
    <row r="55" spans="1:68" ht="14.25" hidden="1" customHeight="1" outlineLevel="1">
      <c r="A55" s="233"/>
      <c r="B55" s="237"/>
      <c r="C55" s="237"/>
      <c r="D55" s="237"/>
      <c r="E55" s="242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34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1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37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</row>
    <row r="56" spans="1:68" ht="14.25" hidden="1" customHeight="1" outlineLevel="1">
      <c r="A56" s="233"/>
      <c r="B56" s="237"/>
      <c r="C56" s="237"/>
      <c r="D56" s="237"/>
      <c r="E56" s="242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34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1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37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</row>
    <row r="57" spans="1:68" ht="14.25" hidden="1" customHeight="1" outlineLevel="1">
      <c r="A57" s="233"/>
      <c r="B57" s="237"/>
      <c r="C57" s="237"/>
      <c r="D57" s="237"/>
      <c r="E57" s="242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34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1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37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</row>
    <row r="58" spans="1:68" ht="14.25" hidden="1" customHeight="1" outlineLevel="1">
      <c r="A58" s="233"/>
      <c r="B58" s="237"/>
      <c r="C58" s="237"/>
      <c r="D58" s="237"/>
      <c r="E58" s="242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34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1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37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</row>
    <row r="59" spans="1:68" ht="14.25" hidden="1" customHeight="1" outlineLevel="1">
      <c r="A59" s="233"/>
      <c r="B59" s="237"/>
      <c r="C59" s="237"/>
      <c r="D59" s="237"/>
      <c r="E59" s="242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34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1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37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</row>
    <row r="60" spans="1:68" ht="14.25" hidden="1" customHeight="1" outlineLevel="1">
      <c r="A60" s="233"/>
      <c r="B60" s="237"/>
      <c r="C60" s="237"/>
      <c r="D60" s="237"/>
      <c r="E60" s="242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34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1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37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</row>
    <row r="61" spans="1:68" ht="14.25" hidden="1" customHeight="1" outlineLevel="1">
      <c r="A61" s="233"/>
      <c r="B61" s="237"/>
      <c r="C61" s="237"/>
      <c r="D61" s="237"/>
      <c r="E61" s="242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34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1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37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</row>
    <row r="62" spans="1:68" ht="14.25" hidden="1" customHeight="1" outlineLevel="1">
      <c r="A62" s="233"/>
      <c r="B62" s="237"/>
      <c r="C62" s="237"/>
      <c r="D62" s="237"/>
      <c r="E62" s="242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34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1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37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</row>
    <row r="63" spans="1:68" ht="14.25" hidden="1" customHeight="1" outlineLevel="1">
      <c r="A63" s="233"/>
      <c r="B63" s="237"/>
      <c r="C63" s="237"/>
      <c r="D63" s="237"/>
      <c r="E63" s="242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34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1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37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</row>
    <row r="64" spans="1:68" ht="14.25" hidden="1" customHeight="1" outlineLevel="1">
      <c r="A64" s="233"/>
      <c r="B64" s="237"/>
      <c r="C64" s="237"/>
      <c r="D64" s="237"/>
      <c r="E64" s="242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34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1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37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</row>
    <row r="65" spans="1:68" ht="14.25" hidden="1" customHeight="1" outlineLevel="1">
      <c r="A65" s="233"/>
      <c r="B65" s="237"/>
      <c r="C65" s="237"/>
      <c r="D65" s="237"/>
      <c r="E65" s="242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34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1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37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</row>
    <row r="66" spans="1:68" ht="14.25" hidden="1" customHeight="1" outlineLevel="1">
      <c r="A66" s="233"/>
      <c r="B66" s="237"/>
      <c r="C66" s="237"/>
      <c r="D66" s="237"/>
      <c r="E66" s="242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34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1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37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</row>
    <row r="67" spans="1:68" ht="14.25" hidden="1" customHeight="1" outlineLevel="1">
      <c r="A67" s="233"/>
      <c r="B67" s="237"/>
      <c r="C67" s="237"/>
      <c r="D67" s="237"/>
      <c r="E67" s="242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34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1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37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</row>
    <row r="68" spans="1:68" ht="14.25" hidden="1" customHeight="1" outlineLevel="1">
      <c r="A68" s="233"/>
      <c r="B68" s="237"/>
      <c r="C68" s="237"/>
      <c r="D68" s="237"/>
      <c r="E68" s="242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34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1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37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</row>
    <row r="69" spans="1:68" ht="14.25" hidden="1" customHeight="1" outlineLevel="1">
      <c r="A69" s="233"/>
      <c r="B69" s="237"/>
      <c r="C69" s="237"/>
      <c r="D69" s="237"/>
      <c r="E69" s="242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34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1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37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</row>
    <row r="70" spans="1:68" ht="14.25" hidden="1" customHeight="1" outlineLevel="1">
      <c r="A70" s="233"/>
      <c r="B70" s="237"/>
      <c r="C70" s="237"/>
      <c r="D70" s="237"/>
      <c r="E70" s="242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34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1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37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</row>
    <row r="71" spans="1:68" ht="14.25" hidden="1" customHeight="1" outlineLevel="1">
      <c r="A71" s="233"/>
      <c r="B71" s="237"/>
      <c r="C71" s="237"/>
      <c r="D71" s="237"/>
      <c r="E71" s="242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34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1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37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</row>
    <row r="72" spans="1:68" ht="14.25" hidden="1" customHeight="1" outlineLevel="1">
      <c r="A72" s="233"/>
      <c r="B72" s="237"/>
      <c r="C72" s="237"/>
      <c r="D72" s="237"/>
      <c r="E72" s="242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34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1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37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</row>
    <row r="73" spans="1:68" ht="14.25" hidden="1" customHeight="1" outlineLevel="1">
      <c r="A73" s="233"/>
      <c r="B73" s="237"/>
      <c r="C73" s="237"/>
      <c r="D73" s="237"/>
      <c r="E73" s="242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34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1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37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</row>
    <row r="74" spans="1:68" ht="14.25" hidden="1" customHeight="1" outlineLevel="1">
      <c r="A74" s="233"/>
      <c r="B74" s="237"/>
      <c r="C74" s="237"/>
      <c r="D74" s="237"/>
      <c r="E74" s="242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34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1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37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</row>
    <row r="75" spans="1:68" ht="14.25" hidden="1" customHeight="1" outlineLevel="1">
      <c r="A75" s="233"/>
      <c r="B75" s="237"/>
      <c r="C75" s="237"/>
      <c r="D75" s="237"/>
      <c r="E75" s="242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34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1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37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</row>
    <row r="76" spans="1:68" ht="14.25" hidden="1" customHeight="1" outlineLevel="1">
      <c r="A76" s="233"/>
      <c r="B76" s="237"/>
      <c r="C76" s="237"/>
      <c r="D76" s="237"/>
      <c r="E76" s="242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34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1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37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</row>
    <row r="77" spans="1:68" ht="14.25" hidden="1" customHeight="1" outlineLevel="1">
      <c r="A77" s="233"/>
      <c r="B77" s="237"/>
      <c r="C77" s="237"/>
      <c r="D77" s="237"/>
      <c r="E77" s="242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34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1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37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</row>
    <row r="78" spans="1:68" ht="14.25" hidden="1" customHeight="1" outlineLevel="1">
      <c r="A78" s="233"/>
      <c r="B78" s="237"/>
      <c r="C78" s="237"/>
      <c r="D78" s="237"/>
      <c r="E78" s="242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34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1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37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</row>
    <row r="79" spans="1:68" ht="14.25" hidden="1" customHeight="1" outlineLevel="1">
      <c r="A79" s="233"/>
      <c r="B79" s="237"/>
      <c r="C79" s="237"/>
      <c r="D79" s="237"/>
      <c r="E79" s="242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34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1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37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</row>
    <row r="80" spans="1:68" ht="14.25" hidden="1" customHeight="1" outlineLevel="1">
      <c r="A80" s="233"/>
      <c r="B80" s="237"/>
      <c r="C80" s="237"/>
      <c r="D80" s="237"/>
      <c r="E80" s="242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34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1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37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</row>
    <row r="81" spans="1:68" ht="14.25" hidden="1" customHeight="1" outlineLevel="1">
      <c r="A81" s="233"/>
      <c r="B81" s="237"/>
      <c r="C81" s="237"/>
      <c r="D81" s="237"/>
      <c r="E81" s="242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34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1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37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</row>
    <row r="82" spans="1:68" ht="14.25" hidden="1" customHeight="1" outlineLevel="1">
      <c r="A82" s="233"/>
      <c r="B82" s="237"/>
      <c r="C82" s="237"/>
      <c r="D82" s="237"/>
      <c r="E82" s="242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34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1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37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</row>
    <row r="83" spans="1:68" ht="14.25" hidden="1" customHeight="1" outlineLevel="1">
      <c r="A83" s="233"/>
      <c r="B83" s="237"/>
      <c r="C83" s="237"/>
      <c r="D83" s="237"/>
      <c r="E83" s="242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34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1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37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</row>
    <row r="84" spans="1:68" ht="14.25" hidden="1" customHeight="1" outlineLevel="1">
      <c r="A84" s="233"/>
      <c r="B84" s="237"/>
      <c r="C84" s="237"/>
      <c r="D84" s="237"/>
      <c r="E84" s="242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34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1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37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</row>
    <row r="85" spans="1:68" ht="14.25" hidden="1" customHeight="1" outlineLevel="1">
      <c r="A85" s="233"/>
      <c r="B85" s="237"/>
      <c r="C85" s="237"/>
      <c r="D85" s="237"/>
      <c r="E85" s="242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34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1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37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</row>
    <row r="86" spans="1:68" ht="14.25" hidden="1" customHeight="1" outlineLevel="1">
      <c r="A86" s="233"/>
      <c r="B86" s="237"/>
      <c r="C86" s="237"/>
      <c r="D86" s="237"/>
      <c r="E86" s="242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34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1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37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</row>
    <row r="87" spans="1:68" ht="14.25" hidden="1" customHeight="1" outlineLevel="1">
      <c r="A87" s="233"/>
      <c r="B87" s="237"/>
      <c r="C87" s="237"/>
      <c r="D87" s="237"/>
      <c r="E87" s="242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34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1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37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</row>
    <row r="88" spans="1:68" ht="14.25" hidden="1" customHeight="1" outlineLevel="1">
      <c r="A88" s="233"/>
      <c r="B88" s="237"/>
      <c r="C88" s="237"/>
      <c r="D88" s="237"/>
      <c r="E88" s="242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34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1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37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</row>
    <row r="89" spans="1:68" ht="14.25" hidden="1" customHeight="1" outlineLevel="1">
      <c r="A89" s="233"/>
      <c r="B89" s="237"/>
      <c r="C89" s="237"/>
      <c r="D89" s="237"/>
      <c r="E89" s="242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34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1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37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</row>
    <row r="90" spans="1:68" ht="14.25" hidden="1" customHeight="1" outlineLevel="1">
      <c r="A90" s="233"/>
      <c r="B90" s="237"/>
      <c r="C90" s="237"/>
      <c r="D90" s="237"/>
      <c r="E90" s="242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34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1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37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</row>
    <row r="91" spans="1:68" ht="14.25" hidden="1" customHeight="1" outlineLevel="1">
      <c r="A91" s="233"/>
      <c r="B91" s="237"/>
      <c r="C91" s="237"/>
      <c r="D91" s="237"/>
      <c r="E91" s="242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34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1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37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</row>
    <row r="92" spans="1:68" ht="14.25" hidden="1" customHeight="1" outlineLevel="1">
      <c r="A92" s="233"/>
      <c r="B92" s="237"/>
      <c r="C92" s="237"/>
      <c r="D92" s="237"/>
      <c r="E92" s="242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34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1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37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</row>
    <row r="93" spans="1:68" ht="14.25" hidden="1" customHeight="1" outlineLevel="1">
      <c r="A93" s="233"/>
      <c r="B93" s="237"/>
      <c r="C93" s="237"/>
      <c r="D93" s="237"/>
      <c r="E93" s="242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34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1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37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</row>
    <row r="94" spans="1:68" ht="14.25" hidden="1" customHeight="1" outlineLevel="1">
      <c r="A94" s="233"/>
      <c r="B94" s="237"/>
      <c r="C94" s="237"/>
      <c r="D94" s="237"/>
      <c r="E94" s="242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34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1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37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</row>
    <row r="95" spans="1:68" ht="14.25" hidden="1" customHeight="1" outlineLevel="1">
      <c r="A95" s="233"/>
      <c r="B95" s="237"/>
      <c r="C95" s="237"/>
      <c r="D95" s="237"/>
      <c r="E95" s="242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34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1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37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</row>
    <row r="96" spans="1:68" ht="14.25" hidden="1" customHeight="1" outlineLevel="1">
      <c r="A96" s="233"/>
      <c r="B96" s="237"/>
      <c r="C96" s="237"/>
      <c r="D96" s="237"/>
      <c r="E96" s="242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34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1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37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</row>
    <row r="97" spans="1:68" ht="14.25" hidden="1" customHeight="1" outlineLevel="1">
      <c r="A97" s="233"/>
      <c r="B97" s="237"/>
      <c r="C97" s="237"/>
      <c r="D97" s="237"/>
      <c r="E97" s="242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34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1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37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</row>
    <row r="98" spans="1:68" ht="14.25" hidden="1" customHeight="1" outlineLevel="1">
      <c r="A98" s="233"/>
      <c r="B98" s="237"/>
      <c r="C98" s="237"/>
      <c r="D98" s="237"/>
      <c r="E98" s="242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34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1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37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</row>
    <row r="99" spans="1:68" ht="14.25" hidden="1" customHeight="1" outlineLevel="1">
      <c r="A99" s="233"/>
      <c r="B99" s="237"/>
      <c r="C99" s="237"/>
      <c r="D99" s="237"/>
      <c r="E99" s="242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34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1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37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</row>
    <row r="100" spans="1:68" ht="14.25" hidden="1" customHeight="1" outlineLevel="1">
      <c r="A100" s="233"/>
      <c r="B100" s="237"/>
      <c r="C100" s="237"/>
      <c r="D100" s="237"/>
      <c r="E100" s="242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34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1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37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</row>
    <row r="101" spans="1:68" ht="14.25" hidden="1" customHeight="1" outlineLevel="1">
      <c r="A101" s="233"/>
      <c r="B101" s="237"/>
      <c r="C101" s="237"/>
      <c r="D101" s="237"/>
      <c r="E101" s="242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34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1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37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</row>
    <row r="102" spans="1:68" ht="14.25" hidden="1" customHeight="1" outlineLevel="1">
      <c r="A102" s="233"/>
      <c r="B102" s="237"/>
      <c r="C102" s="237"/>
      <c r="D102" s="237"/>
      <c r="E102" s="242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34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1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37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</row>
    <row r="103" spans="1:68" ht="14.25" hidden="1" customHeight="1" outlineLevel="1">
      <c r="A103" s="233"/>
      <c r="B103" s="237"/>
      <c r="C103" s="237"/>
      <c r="D103" s="237"/>
      <c r="E103" s="242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34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1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37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</row>
    <row r="104" spans="1:68" ht="14.25" hidden="1" customHeight="1" outlineLevel="1">
      <c r="A104" s="233"/>
      <c r="B104" s="237"/>
      <c r="C104" s="237"/>
      <c r="D104" s="237"/>
      <c r="E104" s="242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34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1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37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</row>
    <row r="105" spans="1:68" ht="14.25" hidden="1" customHeight="1" outlineLevel="1">
      <c r="A105" s="233"/>
      <c r="B105" s="237"/>
      <c r="C105" s="237"/>
      <c r="D105" s="237"/>
      <c r="E105" s="242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34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1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37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</row>
    <row r="106" spans="1:68" ht="14.25" hidden="1" customHeight="1" outlineLevel="1">
      <c r="A106" s="233"/>
      <c r="B106" s="237"/>
      <c r="C106" s="237"/>
      <c r="D106" s="237"/>
      <c r="E106" s="242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34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1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37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</row>
    <row r="107" spans="1:68" ht="14.25" hidden="1" customHeight="1" outlineLevel="1">
      <c r="A107" s="233"/>
      <c r="B107" s="237"/>
      <c r="C107" s="237"/>
      <c r="D107" s="237"/>
      <c r="E107" s="242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34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1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37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</row>
    <row r="108" spans="1:68" ht="14.25" hidden="1" customHeight="1" outlineLevel="1">
      <c r="A108" s="233"/>
      <c r="B108" s="237"/>
      <c r="C108" s="237"/>
      <c r="D108" s="237"/>
      <c r="E108" s="242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34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1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37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</row>
    <row r="109" spans="1:68" ht="14.25" hidden="1" customHeight="1" outlineLevel="1">
      <c r="A109" s="233"/>
      <c r="B109" s="237"/>
      <c r="C109" s="237"/>
      <c r="D109" s="237"/>
      <c r="E109" s="242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34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1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37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</row>
    <row r="110" spans="1:68" ht="14.25" hidden="1" customHeight="1" outlineLevel="1">
      <c r="A110" s="233"/>
      <c r="B110" s="237"/>
      <c r="C110" s="237"/>
      <c r="D110" s="237"/>
      <c r="E110" s="242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34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1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37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</row>
    <row r="111" spans="1:68" ht="14.25" hidden="1" customHeight="1" outlineLevel="1">
      <c r="A111" s="233"/>
      <c r="B111" s="237"/>
      <c r="C111" s="237"/>
      <c r="D111" s="237"/>
      <c r="E111" s="242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34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1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37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</row>
    <row r="112" spans="1:68" ht="14.25" hidden="1" customHeight="1" outlineLevel="1">
      <c r="A112" s="233"/>
      <c r="B112" s="237"/>
      <c r="C112" s="237"/>
      <c r="D112" s="237"/>
      <c r="E112" s="242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34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1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37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</row>
    <row r="113" spans="1:68" ht="14.25" hidden="1" customHeight="1" outlineLevel="1">
      <c r="A113" s="233"/>
      <c r="B113" s="237"/>
      <c r="C113" s="237"/>
      <c r="D113" s="237"/>
      <c r="E113" s="242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34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1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37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</row>
    <row r="114" spans="1:68" ht="14.25" hidden="1" customHeight="1" outlineLevel="1">
      <c r="A114" s="233"/>
      <c r="B114" s="237"/>
      <c r="C114" s="237"/>
      <c r="D114" s="237"/>
      <c r="E114" s="242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34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1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37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</row>
    <row r="115" spans="1:68" ht="14.25" hidden="1" customHeight="1" outlineLevel="1">
      <c r="A115" s="233"/>
      <c r="B115" s="237"/>
      <c r="C115" s="237"/>
      <c r="D115" s="237"/>
      <c r="E115" s="242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34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1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37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</row>
    <row r="116" spans="1:68" ht="14.25" hidden="1" customHeight="1" outlineLevel="1">
      <c r="A116" s="233"/>
      <c r="B116" s="237"/>
      <c r="C116" s="237"/>
      <c r="D116" s="237"/>
      <c r="E116" s="242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34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1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37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</row>
    <row r="117" spans="1:68" ht="14.25" hidden="1" customHeight="1" outlineLevel="1">
      <c r="A117" s="233"/>
      <c r="B117" s="237"/>
      <c r="C117" s="237"/>
      <c r="D117" s="237"/>
      <c r="E117" s="242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34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1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37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</row>
    <row r="118" spans="1:68" ht="14.25" hidden="1" customHeight="1" outlineLevel="1">
      <c r="A118" s="233"/>
      <c r="B118" s="237"/>
      <c r="C118" s="237"/>
      <c r="D118" s="237"/>
      <c r="E118" s="242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34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1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37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</row>
    <row r="119" spans="1:68" ht="14.25" hidden="1" customHeight="1" outlineLevel="1">
      <c r="A119" s="233"/>
      <c r="B119" s="237"/>
      <c r="C119" s="237"/>
      <c r="D119" s="237"/>
      <c r="E119" s="242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34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1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37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</row>
    <row r="120" spans="1:68" ht="14.25" hidden="1" customHeight="1" outlineLevel="1">
      <c r="A120" s="233"/>
      <c r="B120" s="237"/>
      <c r="C120" s="237"/>
      <c r="D120" s="237"/>
      <c r="E120" s="242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34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1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37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</row>
    <row r="121" spans="1:68" ht="14.25" hidden="1" customHeight="1" outlineLevel="1">
      <c r="A121" s="233"/>
      <c r="B121" s="237"/>
      <c r="C121" s="237"/>
      <c r="D121" s="237"/>
      <c r="E121" s="242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34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1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37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</row>
    <row r="122" spans="1:68" ht="14.25" hidden="1" customHeight="1" outlineLevel="1">
      <c r="A122" s="233"/>
      <c r="B122" s="237"/>
      <c r="C122" s="237"/>
      <c r="D122" s="237"/>
      <c r="E122" s="242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34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1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37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</row>
    <row r="123" spans="1:68" ht="14.25" hidden="1" customHeight="1" outlineLevel="1">
      <c r="A123" s="233"/>
      <c r="B123" s="237"/>
      <c r="C123" s="237"/>
      <c r="D123" s="237"/>
      <c r="E123" s="242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34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1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37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</row>
    <row r="124" spans="1:68" ht="14.25" hidden="1" customHeight="1" outlineLevel="1">
      <c r="A124" s="233"/>
      <c r="B124" s="237"/>
      <c r="C124" s="237"/>
      <c r="D124" s="237"/>
      <c r="E124" s="242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34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1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37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</row>
    <row r="125" spans="1:68" ht="14.25" hidden="1" customHeight="1" outlineLevel="1">
      <c r="A125" s="233"/>
      <c r="B125" s="237"/>
      <c r="C125" s="237"/>
      <c r="D125" s="237"/>
      <c r="E125" s="242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34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1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37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</row>
    <row r="126" spans="1:68" ht="14.25" hidden="1" customHeight="1" outlineLevel="1">
      <c r="A126" s="233"/>
      <c r="B126" s="237"/>
      <c r="C126" s="237"/>
      <c r="D126" s="237"/>
      <c r="E126" s="242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34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1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37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</row>
    <row r="127" spans="1:68" ht="14.25" hidden="1" customHeight="1" outlineLevel="1">
      <c r="A127" s="233"/>
      <c r="B127" s="237"/>
      <c r="C127" s="237"/>
      <c r="D127" s="237"/>
      <c r="E127" s="242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34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1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37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</row>
    <row r="128" spans="1:68" ht="14.25" hidden="1" customHeight="1" outlineLevel="1">
      <c r="A128" s="233"/>
      <c r="B128" s="237"/>
      <c r="C128" s="237"/>
      <c r="D128" s="237"/>
      <c r="E128" s="242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34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1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37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</row>
    <row r="129" spans="1:68" ht="14.25" hidden="1" customHeight="1" outlineLevel="1">
      <c r="A129" s="233"/>
      <c r="B129" s="237"/>
      <c r="C129" s="237"/>
      <c r="D129" s="237"/>
      <c r="E129" s="242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34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1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37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</row>
    <row r="130" spans="1:68" ht="14.25" hidden="1" customHeight="1" outlineLevel="1">
      <c r="A130" s="233"/>
      <c r="B130" s="237"/>
      <c r="C130" s="237"/>
      <c r="D130" s="237"/>
      <c r="E130" s="242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34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1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37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</row>
    <row r="131" spans="1:68" ht="14.25" hidden="1" customHeight="1" outlineLevel="1">
      <c r="A131" s="233"/>
      <c r="B131" s="237"/>
      <c r="C131" s="237"/>
      <c r="D131" s="237"/>
      <c r="E131" s="242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34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1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37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</row>
    <row r="132" spans="1:68" ht="14.25" hidden="1" customHeight="1" outlineLevel="1">
      <c r="A132" s="233"/>
      <c r="B132" s="237"/>
      <c r="C132" s="237"/>
      <c r="D132" s="237"/>
      <c r="E132" s="242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34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1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37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</row>
    <row r="133" spans="1:68" ht="14.25" hidden="1" customHeight="1" outlineLevel="1">
      <c r="A133" s="233"/>
      <c r="B133" s="237"/>
      <c r="C133" s="237"/>
      <c r="D133" s="237"/>
      <c r="E133" s="242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34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1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37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</row>
    <row r="134" spans="1:68" ht="14.25" hidden="1" customHeight="1" outlineLevel="1">
      <c r="A134" s="233"/>
      <c r="B134" s="237"/>
      <c r="C134" s="237"/>
      <c r="D134" s="237"/>
      <c r="E134" s="242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34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1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37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</row>
    <row r="135" spans="1:68" ht="14.25" hidden="1" customHeight="1" outlineLevel="1">
      <c r="A135" s="233"/>
      <c r="B135" s="237"/>
      <c r="C135" s="237"/>
      <c r="D135" s="237"/>
      <c r="E135" s="242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34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1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37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</row>
    <row r="136" spans="1:68" ht="14.25" hidden="1" customHeight="1" outlineLevel="1">
      <c r="A136" s="233"/>
      <c r="B136" s="237"/>
      <c r="C136" s="237"/>
      <c r="D136" s="237"/>
      <c r="E136" s="242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34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1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37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</row>
    <row r="137" spans="1:68" ht="14.25" hidden="1" customHeight="1" outlineLevel="1">
      <c r="A137" s="233"/>
      <c r="B137" s="237"/>
      <c r="C137" s="237"/>
      <c r="D137" s="237"/>
      <c r="E137" s="242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34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1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37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</row>
    <row r="138" spans="1:68" ht="14.25" hidden="1" customHeight="1" outlineLevel="1">
      <c r="A138" s="233"/>
      <c r="B138" s="237"/>
      <c r="C138" s="237"/>
      <c r="D138" s="237"/>
      <c r="E138" s="242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34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1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37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</row>
    <row r="139" spans="1:68" ht="14.25" hidden="1" customHeight="1" outlineLevel="1">
      <c r="A139" s="233"/>
      <c r="B139" s="237"/>
      <c r="C139" s="237"/>
      <c r="D139" s="237"/>
      <c r="E139" s="242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34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1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37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</row>
    <row r="140" spans="1:68" ht="14.25" hidden="1" customHeight="1" outlineLevel="1">
      <c r="A140" s="233"/>
      <c r="B140" s="237"/>
      <c r="C140" s="237"/>
      <c r="D140" s="237"/>
      <c r="E140" s="242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34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1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37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</row>
    <row r="141" spans="1:68" ht="14.25" hidden="1" customHeight="1" outlineLevel="1">
      <c r="A141" s="233"/>
      <c r="B141" s="237"/>
      <c r="C141" s="237"/>
      <c r="D141" s="237"/>
      <c r="E141" s="242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34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1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37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</row>
    <row r="142" spans="1:68" ht="14.25" hidden="1" customHeight="1" outlineLevel="1">
      <c r="A142" s="233"/>
      <c r="B142" s="237"/>
      <c r="C142" s="237"/>
      <c r="D142" s="237"/>
      <c r="E142" s="242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34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1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37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</row>
    <row r="143" spans="1:68" ht="14.25" hidden="1" customHeight="1" outlineLevel="1">
      <c r="A143" s="233"/>
      <c r="B143" s="237"/>
      <c r="C143" s="237"/>
      <c r="D143" s="237"/>
      <c r="E143" s="242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34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1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37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</row>
    <row r="144" spans="1:68" ht="14.25" hidden="1" customHeight="1" outlineLevel="1">
      <c r="A144" s="233"/>
      <c r="B144" s="237"/>
      <c r="C144" s="237"/>
      <c r="D144" s="237"/>
      <c r="E144" s="242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34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1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37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</row>
    <row r="145" spans="1:68" ht="14.25" hidden="1" customHeight="1" outlineLevel="1">
      <c r="A145" s="233"/>
      <c r="B145" s="237"/>
      <c r="C145" s="237"/>
      <c r="D145" s="237"/>
      <c r="E145" s="242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34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1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37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</row>
    <row r="146" spans="1:68" ht="14.25" hidden="1" customHeight="1" outlineLevel="1">
      <c r="A146" s="233"/>
      <c r="B146" s="237"/>
      <c r="C146" s="237"/>
      <c r="D146" s="237"/>
      <c r="E146" s="242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34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1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37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</row>
    <row r="147" spans="1:68" ht="14.25" hidden="1" customHeight="1" outlineLevel="1">
      <c r="A147" s="233"/>
      <c r="B147" s="237"/>
      <c r="C147" s="237"/>
      <c r="D147" s="237"/>
      <c r="E147" s="242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34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1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37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</row>
    <row r="148" spans="1:68" ht="14.25" hidden="1" customHeight="1" outlineLevel="1">
      <c r="A148" s="233"/>
      <c r="B148" s="237"/>
      <c r="C148" s="237"/>
      <c r="D148" s="237"/>
      <c r="E148" s="242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34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1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37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</row>
    <row r="149" spans="1:68" ht="14.25" hidden="1" customHeight="1" outlineLevel="1">
      <c r="A149" s="233"/>
      <c r="B149" s="237"/>
      <c r="C149" s="237"/>
      <c r="D149" s="237"/>
      <c r="E149" s="242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34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1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37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</row>
    <row r="150" spans="1:68" ht="14.25" hidden="1" customHeight="1" outlineLevel="1">
      <c r="A150" s="233"/>
      <c r="B150" s="237"/>
      <c r="C150" s="237"/>
      <c r="D150" s="237"/>
      <c r="E150" s="242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34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1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37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</row>
    <row r="151" spans="1:68" ht="14.25" hidden="1" customHeight="1" outlineLevel="1">
      <c r="A151" s="233"/>
      <c r="B151" s="237"/>
      <c r="C151" s="237"/>
      <c r="D151" s="237"/>
      <c r="E151" s="242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34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1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37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</row>
    <row r="152" spans="1:68" ht="14.25" hidden="1" customHeight="1" outlineLevel="1">
      <c r="A152" s="233"/>
      <c r="B152" s="237"/>
      <c r="C152" s="237"/>
      <c r="D152" s="237"/>
      <c r="E152" s="242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34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1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37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</row>
    <row r="153" spans="1:68" ht="14.25" hidden="1" customHeight="1" outlineLevel="1">
      <c r="A153" s="233"/>
      <c r="B153" s="237"/>
      <c r="C153" s="237"/>
      <c r="D153" s="237"/>
      <c r="E153" s="242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34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1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37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</row>
    <row r="154" spans="1:68" ht="14.25" hidden="1" customHeight="1" outlineLevel="1">
      <c r="A154" s="233"/>
      <c r="B154" s="237"/>
      <c r="C154" s="237"/>
      <c r="D154" s="237"/>
      <c r="E154" s="242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34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1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37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</row>
    <row r="155" spans="1:68" ht="14.25" hidden="1" customHeight="1" outlineLevel="1">
      <c r="A155" s="233"/>
      <c r="B155" s="237"/>
      <c r="C155" s="237"/>
      <c r="D155" s="237"/>
      <c r="E155" s="242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34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1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37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</row>
    <row r="156" spans="1:68" ht="14.25" hidden="1" customHeight="1" outlineLevel="1">
      <c r="A156" s="233"/>
      <c r="B156" s="237"/>
      <c r="C156" s="237"/>
      <c r="D156" s="237"/>
      <c r="E156" s="242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34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1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37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</row>
    <row r="157" spans="1:68" ht="14.25" hidden="1" customHeight="1" outlineLevel="1">
      <c r="A157" s="233"/>
      <c r="B157" s="237"/>
      <c r="C157" s="237"/>
      <c r="D157" s="237"/>
      <c r="E157" s="242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34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1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37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</row>
    <row r="158" spans="1:68" ht="14.25" hidden="1" customHeight="1" outlineLevel="1">
      <c r="A158" s="233"/>
      <c r="B158" s="237"/>
      <c r="C158" s="237"/>
      <c r="D158" s="237"/>
      <c r="E158" s="242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34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1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37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</row>
    <row r="159" spans="1:68" ht="14.25" hidden="1" customHeight="1" outlineLevel="1">
      <c r="A159" s="233"/>
      <c r="B159" s="237"/>
      <c r="C159" s="237"/>
      <c r="D159" s="237"/>
      <c r="E159" s="242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34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1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37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</row>
    <row r="160" spans="1:68" ht="14.25" hidden="1" customHeight="1" outlineLevel="1">
      <c r="A160" s="233"/>
      <c r="B160" s="237"/>
      <c r="C160" s="237"/>
      <c r="D160" s="237"/>
      <c r="E160" s="242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34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1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37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</row>
    <row r="161" spans="1:68" ht="14.25" hidden="1" customHeight="1" outlineLevel="1">
      <c r="A161" s="233"/>
      <c r="B161" s="237"/>
      <c r="C161" s="237"/>
      <c r="D161" s="237"/>
      <c r="E161" s="242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34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1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37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</row>
    <row r="162" spans="1:68" ht="14.25" hidden="1" customHeight="1" outlineLevel="1">
      <c r="A162" s="233"/>
      <c r="B162" s="237"/>
      <c r="C162" s="237"/>
      <c r="D162" s="237"/>
      <c r="E162" s="242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34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1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37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</row>
    <row r="163" spans="1:68" ht="14.25" hidden="1" customHeight="1" outlineLevel="1">
      <c r="A163" s="233"/>
      <c r="B163" s="237"/>
      <c r="C163" s="237"/>
      <c r="D163" s="237"/>
      <c r="E163" s="242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34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1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37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</row>
    <row r="164" spans="1:68" ht="14.25" hidden="1" customHeight="1" outlineLevel="1">
      <c r="A164" s="233"/>
      <c r="B164" s="237"/>
      <c r="C164" s="237"/>
      <c r="D164" s="237"/>
      <c r="E164" s="242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34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1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37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</row>
    <row r="165" spans="1:68" ht="14.25" hidden="1" customHeight="1" outlineLevel="1">
      <c r="A165" s="233"/>
      <c r="B165" s="237"/>
      <c r="C165" s="237"/>
      <c r="D165" s="237"/>
      <c r="E165" s="242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34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1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37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</row>
    <row r="166" spans="1:68" ht="14.25" hidden="1" customHeight="1" outlineLevel="1">
      <c r="A166" s="233"/>
      <c r="B166" s="237"/>
      <c r="C166" s="237"/>
      <c r="D166" s="237"/>
      <c r="E166" s="242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34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1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37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</row>
    <row r="167" spans="1:68" ht="14.25" hidden="1" customHeight="1" outlineLevel="1">
      <c r="A167" s="233"/>
      <c r="B167" s="237"/>
      <c r="C167" s="237"/>
      <c r="D167" s="237"/>
      <c r="E167" s="242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34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1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37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</row>
    <row r="168" spans="1:68" ht="14.25" hidden="1" customHeight="1" outlineLevel="1">
      <c r="A168" s="233"/>
      <c r="B168" s="237"/>
      <c r="C168" s="237"/>
      <c r="D168" s="237"/>
      <c r="E168" s="242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34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1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37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</row>
    <row r="169" spans="1:68" ht="14.25" hidden="1" customHeight="1" outlineLevel="1">
      <c r="A169" s="233"/>
      <c r="B169" s="237"/>
      <c r="C169" s="237"/>
      <c r="D169" s="237"/>
      <c r="E169" s="242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34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1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37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</row>
    <row r="170" spans="1:68" ht="14.25" hidden="1" customHeight="1" outlineLevel="1">
      <c r="A170" s="233"/>
      <c r="B170" s="237"/>
      <c r="C170" s="237"/>
      <c r="D170" s="237"/>
      <c r="E170" s="242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34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1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37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</row>
    <row r="171" spans="1:68" ht="14.25" hidden="1" customHeight="1" outlineLevel="1">
      <c r="A171" s="233"/>
      <c r="B171" s="237"/>
      <c r="C171" s="237"/>
      <c r="D171" s="237"/>
      <c r="E171" s="242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34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1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37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</row>
    <row r="172" spans="1:68" ht="14.25" hidden="1" customHeight="1" outlineLevel="1">
      <c r="A172" s="233"/>
      <c r="B172" s="237"/>
      <c r="C172" s="237"/>
      <c r="D172" s="237"/>
      <c r="E172" s="242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34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1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37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</row>
    <row r="173" spans="1:68" ht="14.25" hidden="1" customHeight="1" outlineLevel="1">
      <c r="A173" s="233"/>
      <c r="B173" s="237"/>
      <c r="C173" s="237"/>
      <c r="D173" s="237"/>
      <c r="E173" s="242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34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1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37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</row>
    <row r="174" spans="1:68" ht="14.25" hidden="1" customHeight="1" outlineLevel="1">
      <c r="A174" s="233"/>
      <c r="B174" s="237"/>
      <c r="C174" s="237"/>
      <c r="D174" s="237"/>
      <c r="E174" s="242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34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1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37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</row>
    <row r="175" spans="1:68" ht="14.25" hidden="1" customHeight="1" outlineLevel="1">
      <c r="A175" s="233"/>
      <c r="B175" s="237"/>
      <c r="C175" s="237"/>
      <c r="D175" s="237"/>
      <c r="E175" s="242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34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1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37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</row>
    <row r="176" spans="1:68" ht="14.25" hidden="1" customHeight="1" outlineLevel="1">
      <c r="A176" s="233"/>
      <c r="B176" s="237"/>
      <c r="C176" s="237"/>
      <c r="D176" s="237"/>
      <c r="E176" s="242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34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1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37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</row>
    <row r="177" spans="1:68" ht="14.25" hidden="1" customHeight="1" outlineLevel="1">
      <c r="A177" s="233"/>
      <c r="B177" s="237"/>
      <c r="C177" s="237"/>
      <c r="D177" s="237"/>
      <c r="E177" s="242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34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1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37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</row>
    <row r="178" spans="1:68" ht="14.25" hidden="1" customHeight="1" outlineLevel="1">
      <c r="A178" s="233"/>
      <c r="B178" s="237"/>
      <c r="C178" s="237"/>
      <c r="D178" s="237"/>
      <c r="E178" s="242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34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1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37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</row>
    <row r="179" spans="1:68" ht="14.25" hidden="1" customHeight="1" outlineLevel="1">
      <c r="A179" s="233"/>
      <c r="B179" s="237"/>
      <c r="C179" s="237"/>
      <c r="D179" s="237"/>
      <c r="E179" s="242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34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1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37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</row>
    <row r="180" spans="1:68" ht="14.25" hidden="1" customHeight="1" outlineLevel="1">
      <c r="A180" s="233"/>
      <c r="B180" s="237"/>
      <c r="C180" s="237"/>
      <c r="D180" s="237"/>
      <c r="E180" s="242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34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1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37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</row>
    <row r="181" spans="1:68" ht="14.25" hidden="1" customHeight="1" outlineLevel="1">
      <c r="A181" s="233"/>
      <c r="B181" s="237"/>
      <c r="C181" s="237"/>
      <c r="D181" s="237"/>
      <c r="E181" s="242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34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1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37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</row>
    <row r="182" spans="1:68" ht="14.25" hidden="1" customHeight="1" outlineLevel="1">
      <c r="A182" s="233"/>
      <c r="B182" s="237"/>
      <c r="C182" s="237"/>
      <c r="D182" s="237"/>
      <c r="E182" s="242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34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1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37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</row>
    <row r="183" spans="1:68" ht="14.25" hidden="1" customHeight="1" outlineLevel="1">
      <c r="A183" s="233"/>
      <c r="B183" s="237"/>
      <c r="C183" s="237"/>
      <c r="D183" s="237"/>
      <c r="E183" s="242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34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1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37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</row>
    <row r="184" spans="1:68" ht="14.25" hidden="1" customHeight="1" outlineLevel="1">
      <c r="A184" s="233"/>
      <c r="B184" s="237"/>
      <c r="C184" s="237"/>
      <c r="D184" s="237"/>
      <c r="E184" s="242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34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1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37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</row>
    <row r="185" spans="1:68" ht="14.25" hidden="1" customHeight="1" outlineLevel="1">
      <c r="A185" s="233"/>
      <c r="B185" s="237"/>
      <c r="C185" s="237"/>
      <c r="D185" s="237"/>
      <c r="E185" s="242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34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1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37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</row>
    <row r="186" spans="1:68" ht="14.25" hidden="1" customHeight="1" outlineLevel="1">
      <c r="A186" s="233"/>
      <c r="B186" s="237"/>
      <c r="C186" s="237"/>
      <c r="D186" s="237"/>
      <c r="E186" s="242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34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1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37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</row>
    <row r="187" spans="1:68" ht="14.25" hidden="1" customHeight="1" outlineLevel="1">
      <c r="A187" s="233"/>
      <c r="B187" s="237"/>
      <c r="C187" s="237"/>
      <c r="D187" s="237"/>
      <c r="E187" s="242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34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1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37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</row>
    <row r="188" spans="1:68" ht="14.25" hidden="1" customHeight="1" outlineLevel="1">
      <c r="A188" s="233"/>
      <c r="B188" s="237"/>
      <c r="C188" s="237"/>
      <c r="D188" s="237"/>
      <c r="E188" s="242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34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1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37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</row>
    <row r="189" spans="1:68" ht="14.25" hidden="1" customHeight="1" outlineLevel="1">
      <c r="A189" s="233"/>
      <c r="B189" s="237"/>
      <c r="C189" s="237"/>
      <c r="D189" s="237"/>
      <c r="E189" s="242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34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1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37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</row>
    <row r="190" spans="1:68" ht="14.25" hidden="1" customHeight="1" outlineLevel="1">
      <c r="A190" s="233"/>
      <c r="B190" s="237"/>
      <c r="C190" s="237"/>
      <c r="D190" s="237"/>
      <c r="E190" s="242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34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1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37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</row>
    <row r="191" spans="1:68" ht="14.25" hidden="1" customHeight="1" outlineLevel="1">
      <c r="A191" s="233"/>
      <c r="B191" s="237"/>
      <c r="C191" s="237"/>
      <c r="D191" s="237"/>
      <c r="E191" s="242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34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1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37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</row>
    <row r="192" spans="1:68" ht="14.25" hidden="1" customHeight="1" outlineLevel="1">
      <c r="A192" s="233"/>
      <c r="B192" s="237"/>
      <c r="C192" s="237"/>
      <c r="D192" s="237"/>
      <c r="E192" s="242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34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1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37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</row>
    <row r="193" spans="1:68" ht="14.25" hidden="1" customHeight="1" outlineLevel="1">
      <c r="A193" s="233"/>
      <c r="B193" s="237"/>
      <c r="C193" s="237"/>
      <c r="D193" s="237"/>
      <c r="E193" s="242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34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1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37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</row>
    <row r="194" spans="1:68" ht="14.25" hidden="1" customHeight="1" outlineLevel="1">
      <c r="A194" s="233"/>
      <c r="B194" s="237"/>
      <c r="C194" s="237"/>
      <c r="D194" s="237"/>
      <c r="E194" s="242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34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1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37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</row>
    <row r="195" spans="1:68" ht="14.25" hidden="1" customHeight="1" outlineLevel="1">
      <c r="A195" s="233"/>
      <c r="B195" s="237"/>
      <c r="C195" s="237"/>
      <c r="D195" s="237"/>
      <c r="E195" s="242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34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1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37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</row>
    <row r="196" spans="1:68" ht="14.25" hidden="1" customHeight="1" outlineLevel="1">
      <c r="A196" s="233"/>
      <c r="B196" s="237"/>
      <c r="C196" s="237"/>
      <c r="D196" s="237"/>
      <c r="E196" s="242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34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1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37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</row>
    <row r="197" spans="1:68" ht="14.25" hidden="1" customHeight="1" outlineLevel="1">
      <c r="A197" s="233"/>
      <c r="B197" s="237"/>
      <c r="C197" s="237"/>
      <c r="D197" s="237"/>
      <c r="E197" s="242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34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1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37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</row>
    <row r="198" spans="1:68" ht="14.25" hidden="1" customHeight="1" outlineLevel="1">
      <c r="A198" s="233"/>
      <c r="B198" s="237"/>
      <c r="C198" s="237"/>
      <c r="D198" s="237"/>
      <c r="E198" s="242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34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1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37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</row>
    <row r="199" spans="1:68" ht="14.25" hidden="1" customHeight="1" outlineLevel="1">
      <c r="A199" s="233"/>
      <c r="B199" s="237"/>
      <c r="C199" s="237"/>
      <c r="D199" s="237"/>
      <c r="E199" s="242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34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1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37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</row>
    <row r="200" spans="1:68" ht="14.25" hidden="1" customHeight="1" outlineLevel="1">
      <c r="A200" s="233"/>
      <c r="B200" s="237"/>
      <c r="C200" s="237"/>
      <c r="D200" s="237"/>
      <c r="E200" s="242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34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1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37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</row>
    <row r="201" spans="1:68" ht="14.25" hidden="1" customHeight="1" outlineLevel="1">
      <c r="A201" s="233"/>
      <c r="B201" s="237"/>
      <c r="C201" s="237"/>
      <c r="D201" s="237"/>
      <c r="E201" s="242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34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1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37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</row>
    <row r="202" spans="1:68" ht="14.25" hidden="1" customHeight="1" outlineLevel="1">
      <c r="A202" s="233"/>
      <c r="B202" s="237"/>
      <c r="C202" s="237"/>
      <c r="D202" s="237"/>
      <c r="E202" s="242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34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1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37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</row>
    <row r="203" spans="1:68" ht="14.25" hidden="1" customHeight="1" outlineLevel="1">
      <c r="A203" s="233"/>
      <c r="B203" s="237"/>
      <c r="C203" s="237"/>
      <c r="D203" s="237"/>
      <c r="E203" s="242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34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1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37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</row>
    <row r="204" spans="1:68" ht="14.25" hidden="1" customHeight="1" outlineLevel="1">
      <c r="A204" s="233"/>
      <c r="B204" s="237"/>
      <c r="C204" s="237"/>
      <c r="D204" s="237"/>
      <c r="E204" s="242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34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1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37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</row>
    <row r="205" spans="1:68" ht="14.25" hidden="1" customHeight="1" outlineLevel="1">
      <c r="A205" s="233"/>
      <c r="B205" s="237"/>
      <c r="C205" s="237"/>
      <c r="D205" s="237"/>
      <c r="E205" s="242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34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1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37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</row>
    <row r="206" spans="1:68" ht="14.25" hidden="1" customHeight="1" outlineLevel="1">
      <c r="A206" s="233"/>
      <c r="B206" s="237"/>
      <c r="C206" s="237"/>
      <c r="D206" s="237"/>
      <c r="E206" s="242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34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1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37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</row>
    <row r="207" spans="1:68" ht="14.25" hidden="1" customHeight="1" outlineLevel="1">
      <c r="A207" s="233"/>
      <c r="B207" s="237"/>
      <c r="C207" s="237"/>
      <c r="D207" s="237"/>
      <c r="E207" s="242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34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1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37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</row>
    <row r="208" spans="1:68" ht="14.25" hidden="1" customHeight="1" outlineLevel="1">
      <c r="A208" s="233"/>
      <c r="B208" s="237"/>
      <c r="C208" s="237"/>
      <c r="D208" s="237"/>
      <c r="E208" s="242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34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1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37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</row>
    <row r="209" spans="1:68" ht="14.25" hidden="1" customHeight="1" outlineLevel="1">
      <c r="A209" s="233"/>
      <c r="B209" s="237"/>
      <c r="C209" s="237"/>
      <c r="D209" s="237"/>
      <c r="E209" s="242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34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1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37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</row>
    <row r="210" spans="1:68" ht="14.25" hidden="1" customHeight="1" outlineLevel="1">
      <c r="A210" s="233"/>
      <c r="B210" s="237"/>
      <c r="C210" s="237"/>
      <c r="D210" s="237"/>
      <c r="E210" s="242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34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1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37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</row>
    <row r="211" spans="1:68" ht="14.25" hidden="1" customHeight="1" outlineLevel="1">
      <c r="A211" s="233"/>
      <c r="B211" s="237"/>
      <c r="C211" s="237"/>
      <c r="D211" s="237"/>
      <c r="E211" s="242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34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1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37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</row>
    <row r="212" spans="1:68" ht="14.25" hidden="1" customHeight="1" outlineLevel="1">
      <c r="A212" s="233"/>
      <c r="B212" s="237"/>
      <c r="C212" s="237"/>
      <c r="D212" s="237"/>
      <c r="E212" s="242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34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1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37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</row>
    <row r="213" spans="1:68" ht="14.25" hidden="1" customHeight="1" outlineLevel="1">
      <c r="A213" s="233"/>
      <c r="B213" s="237"/>
      <c r="C213" s="237"/>
      <c r="D213" s="237"/>
      <c r="E213" s="242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34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1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37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</row>
    <row r="214" spans="1:68" ht="14.25" hidden="1" customHeight="1" outlineLevel="1">
      <c r="A214" s="233"/>
      <c r="B214" s="237"/>
      <c r="C214" s="237"/>
      <c r="D214" s="237"/>
      <c r="E214" s="242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34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1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37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</row>
    <row r="215" spans="1:68" ht="14.25" hidden="1" customHeight="1" outlineLevel="1">
      <c r="A215" s="233"/>
      <c r="B215" s="237"/>
      <c r="C215" s="237"/>
      <c r="D215" s="237"/>
      <c r="E215" s="242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34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1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37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</row>
    <row r="216" spans="1:68" ht="14.25" hidden="1" customHeight="1" outlineLevel="1">
      <c r="A216" s="233"/>
      <c r="B216" s="237"/>
      <c r="C216" s="237"/>
      <c r="D216" s="237"/>
      <c r="E216" s="242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34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1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37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</row>
    <row r="217" spans="1:68" ht="14.25" hidden="1" customHeight="1" outlineLevel="1">
      <c r="A217" s="233"/>
      <c r="B217" s="237"/>
      <c r="C217" s="237"/>
      <c r="D217" s="237"/>
      <c r="E217" s="242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34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1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37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</row>
    <row r="218" spans="1:68" ht="14.25" hidden="1" customHeight="1" outlineLevel="1">
      <c r="A218" s="233"/>
      <c r="B218" s="237"/>
      <c r="C218" s="237"/>
      <c r="D218" s="237"/>
      <c r="E218" s="242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34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1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37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</row>
    <row r="219" spans="1:68" ht="14.25" hidden="1" customHeight="1" outlineLevel="1">
      <c r="A219" s="233"/>
      <c r="B219" s="237"/>
      <c r="C219" s="237"/>
      <c r="D219" s="237"/>
      <c r="E219" s="242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34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1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37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</row>
    <row r="220" spans="1:68" ht="14.25" hidden="1" customHeight="1" outlineLevel="1">
      <c r="A220" s="233"/>
      <c r="B220" s="237"/>
      <c r="C220" s="237"/>
      <c r="D220" s="237"/>
      <c r="E220" s="242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34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1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37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</row>
    <row r="221" spans="1:68" ht="14.25" hidden="1" customHeight="1" outlineLevel="1">
      <c r="A221" s="233"/>
      <c r="B221" s="237"/>
      <c r="C221" s="237"/>
      <c r="D221" s="237"/>
      <c r="E221" s="242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34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1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37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</row>
    <row r="222" spans="1:68" ht="14.25" hidden="1" customHeight="1" outlineLevel="1">
      <c r="A222" s="233"/>
      <c r="B222" s="237"/>
      <c r="C222" s="237"/>
      <c r="D222" s="237"/>
      <c r="E222" s="242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34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1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37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</row>
    <row r="223" spans="1:68" ht="14.25" hidden="1" customHeight="1" outlineLevel="1">
      <c r="A223" s="233"/>
      <c r="B223" s="237"/>
      <c r="C223" s="237"/>
      <c r="D223" s="237"/>
      <c r="E223" s="242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34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1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37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</row>
    <row r="224" spans="1:68" ht="14.25" hidden="1" customHeight="1" outlineLevel="1">
      <c r="A224" s="233"/>
      <c r="B224" s="237"/>
      <c r="C224" s="237"/>
      <c r="D224" s="237"/>
      <c r="E224" s="242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34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1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37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</row>
    <row r="225" spans="1:68" ht="14.25" hidden="1" customHeight="1" outlineLevel="1">
      <c r="A225" s="233"/>
      <c r="B225" s="237"/>
      <c r="C225" s="237"/>
      <c r="D225" s="237"/>
      <c r="E225" s="242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34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1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37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</row>
    <row r="226" spans="1:68" ht="14.25" hidden="1" customHeight="1" outlineLevel="1">
      <c r="A226" s="233"/>
      <c r="B226" s="237"/>
      <c r="C226" s="237"/>
      <c r="D226" s="237"/>
      <c r="E226" s="242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34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1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37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</row>
    <row r="227" spans="1:68" ht="14.25" hidden="1" customHeight="1" outlineLevel="1">
      <c r="A227" s="233"/>
      <c r="B227" s="237"/>
      <c r="C227" s="237"/>
      <c r="D227" s="237"/>
      <c r="E227" s="242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34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1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37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</row>
    <row r="228" spans="1:68" ht="14.25" hidden="1" customHeight="1" outlineLevel="1">
      <c r="A228" s="233"/>
      <c r="B228" s="237"/>
      <c r="C228" s="237"/>
      <c r="D228" s="237"/>
      <c r="E228" s="242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34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1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37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</row>
    <row r="229" spans="1:68" ht="14.25" hidden="1" customHeight="1" outlineLevel="1">
      <c r="A229" s="233"/>
      <c r="B229" s="237"/>
      <c r="C229" s="237"/>
      <c r="D229" s="237"/>
      <c r="E229" s="242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34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1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37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</row>
    <row r="230" spans="1:68" ht="14.25" hidden="1" customHeight="1" outlineLevel="1">
      <c r="A230" s="233"/>
      <c r="B230" s="237"/>
      <c r="C230" s="237"/>
      <c r="D230" s="237"/>
      <c r="E230" s="242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34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1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37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</row>
    <row r="231" spans="1:68" ht="14.25" hidden="1" customHeight="1" outlineLevel="1">
      <c r="A231" s="233"/>
      <c r="B231" s="237"/>
      <c r="C231" s="237"/>
      <c r="D231" s="237"/>
      <c r="E231" s="242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34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1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37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</row>
    <row r="232" spans="1:68" ht="14.25" hidden="1" customHeight="1" outlineLevel="1">
      <c r="A232" s="233"/>
      <c r="B232" s="237"/>
      <c r="C232" s="237"/>
      <c r="D232" s="237"/>
      <c r="E232" s="242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34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1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37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</row>
    <row r="233" spans="1:68" ht="14.25" hidden="1" customHeight="1" outlineLevel="1">
      <c r="A233" s="233"/>
      <c r="B233" s="237"/>
      <c r="C233" s="237"/>
      <c r="D233" s="237"/>
      <c r="E233" s="242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34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1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37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</row>
    <row r="234" spans="1:68" ht="14.25" hidden="1" customHeight="1" outlineLevel="1">
      <c r="A234" s="233"/>
      <c r="B234" s="237"/>
      <c r="C234" s="237"/>
      <c r="D234" s="237"/>
      <c r="E234" s="242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34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1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37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</row>
    <row r="235" spans="1:68" ht="14.25" hidden="1" customHeight="1" outlineLevel="1">
      <c r="A235" s="233"/>
      <c r="B235" s="237"/>
      <c r="C235" s="237"/>
      <c r="D235" s="237"/>
      <c r="E235" s="242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34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1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37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</row>
    <row r="236" spans="1:68" ht="14.25" hidden="1" customHeight="1" outlineLevel="1">
      <c r="A236" s="233"/>
      <c r="B236" s="237"/>
      <c r="C236" s="237"/>
      <c r="D236" s="237"/>
      <c r="E236" s="242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34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1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37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</row>
    <row r="237" spans="1:68" ht="14.25" hidden="1" customHeight="1" outlineLevel="1">
      <c r="A237" s="233"/>
      <c r="B237" s="237"/>
      <c r="C237" s="237"/>
      <c r="D237" s="237"/>
      <c r="E237" s="242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34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1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37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</row>
    <row r="238" spans="1:68" ht="14.25" hidden="1" customHeight="1" outlineLevel="1">
      <c r="A238" s="233"/>
      <c r="B238" s="237"/>
      <c r="C238" s="237"/>
      <c r="D238" s="237"/>
      <c r="E238" s="242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34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1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37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</row>
    <row r="239" spans="1:68" ht="14.25" hidden="1" customHeight="1" outlineLevel="1">
      <c r="A239" s="233"/>
      <c r="B239" s="237"/>
      <c r="C239" s="237"/>
      <c r="D239" s="237"/>
      <c r="E239" s="242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34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1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37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</row>
    <row r="240" spans="1:68" ht="14.25" hidden="1" customHeight="1" outlineLevel="1">
      <c r="A240" s="233"/>
      <c r="B240" s="237"/>
      <c r="C240" s="237"/>
      <c r="D240" s="237"/>
      <c r="E240" s="242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34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1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37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</row>
    <row r="241" spans="1:68" ht="14.25" hidden="1" customHeight="1" outlineLevel="1">
      <c r="A241" s="233"/>
      <c r="B241" s="237"/>
      <c r="C241" s="237"/>
      <c r="D241" s="237"/>
      <c r="E241" s="242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34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1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37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</row>
    <row r="242" spans="1:68" ht="14.25" hidden="1" customHeight="1" outlineLevel="1">
      <c r="A242" s="233"/>
      <c r="B242" s="237"/>
      <c r="C242" s="237"/>
      <c r="D242" s="237"/>
      <c r="E242" s="242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34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1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37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</row>
    <row r="243" spans="1:68" ht="14.25" hidden="1" customHeight="1" outlineLevel="1">
      <c r="A243" s="233"/>
      <c r="B243" s="237"/>
      <c r="C243" s="237"/>
      <c r="D243" s="237"/>
      <c r="E243" s="242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34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1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37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</row>
    <row r="244" spans="1:68" ht="14.25" hidden="1" customHeight="1" outlineLevel="1">
      <c r="A244" s="233"/>
      <c r="B244" s="237"/>
      <c r="C244" s="237"/>
      <c r="D244" s="237"/>
      <c r="E244" s="242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34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1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37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</row>
    <row r="245" spans="1:68" ht="14.25" hidden="1" customHeight="1" outlineLevel="1">
      <c r="A245" s="233"/>
      <c r="B245" s="237"/>
      <c r="C245" s="237"/>
      <c r="D245" s="237"/>
      <c r="E245" s="242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34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1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37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</row>
    <row r="246" spans="1:68" ht="14.25" hidden="1" customHeight="1" outlineLevel="1">
      <c r="A246" s="233"/>
      <c r="B246" s="237"/>
      <c r="C246" s="237"/>
      <c r="D246" s="237"/>
      <c r="E246" s="242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34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1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37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</row>
    <row r="247" spans="1:68" ht="14.25" hidden="1" customHeight="1" outlineLevel="1">
      <c r="A247" s="233"/>
      <c r="B247" s="237"/>
      <c r="C247" s="237"/>
      <c r="D247" s="237"/>
      <c r="E247" s="242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34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1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37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</row>
    <row r="248" spans="1:68" ht="14.25" hidden="1" customHeight="1" outlineLevel="1">
      <c r="A248" s="233"/>
      <c r="B248" s="237"/>
      <c r="C248" s="237"/>
      <c r="D248" s="237"/>
      <c r="E248" s="242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34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1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37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</row>
    <row r="249" spans="1:68" ht="14.25" hidden="1" customHeight="1" outlineLevel="1">
      <c r="A249" s="233"/>
      <c r="B249" s="237"/>
      <c r="C249" s="237"/>
      <c r="D249" s="237"/>
      <c r="E249" s="242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34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1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37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</row>
    <row r="250" spans="1:68" ht="14.25" hidden="1" customHeight="1" outlineLevel="1">
      <c r="A250" s="233"/>
      <c r="B250" s="237"/>
      <c r="C250" s="237"/>
      <c r="D250" s="237"/>
      <c r="E250" s="242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34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1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37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</row>
    <row r="251" spans="1:68" ht="14.25" hidden="1" customHeight="1" outlineLevel="1">
      <c r="A251" s="233"/>
      <c r="B251" s="237"/>
      <c r="C251" s="237"/>
      <c r="D251" s="237"/>
      <c r="E251" s="242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34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1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37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</row>
    <row r="252" spans="1:68" ht="14.25" hidden="1" customHeight="1" outlineLevel="1">
      <c r="A252" s="233"/>
      <c r="B252" s="237"/>
      <c r="C252" s="237"/>
      <c r="D252" s="237"/>
      <c r="E252" s="242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34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1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37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</row>
    <row r="253" spans="1:68" ht="14.25" hidden="1" customHeight="1" outlineLevel="1">
      <c r="A253" s="233"/>
      <c r="B253" s="237"/>
      <c r="C253" s="237"/>
      <c r="D253" s="237"/>
      <c r="E253" s="242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34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1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37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</row>
    <row r="254" spans="1:68" ht="14.25" hidden="1" customHeight="1" outlineLevel="1">
      <c r="A254" s="233"/>
      <c r="B254" s="237"/>
      <c r="C254" s="237"/>
      <c r="D254" s="237"/>
      <c r="E254" s="242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34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1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37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</row>
    <row r="255" spans="1:68" ht="14.25" hidden="1" customHeight="1" outlineLevel="1">
      <c r="A255" s="233"/>
      <c r="B255" s="237"/>
      <c r="C255" s="237"/>
      <c r="D255" s="237"/>
      <c r="E255" s="242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34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1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37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</row>
    <row r="256" spans="1:68" ht="14.25" hidden="1" customHeight="1" outlineLevel="1">
      <c r="A256" s="233"/>
      <c r="B256" s="237"/>
      <c r="C256" s="237"/>
      <c r="D256" s="237"/>
      <c r="E256" s="242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34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1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37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</row>
    <row r="257" spans="1:68" ht="14.25" hidden="1" customHeight="1" outlineLevel="1">
      <c r="A257" s="233"/>
      <c r="B257" s="237"/>
      <c r="C257" s="237"/>
      <c r="D257" s="237"/>
      <c r="E257" s="242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34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1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37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</row>
    <row r="258" spans="1:68" ht="14.25" hidden="1" customHeight="1" outlineLevel="1">
      <c r="A258" s="233"/>
      <c r="B258" s="237"/>
      <c r="C258" s="237"/>
      <c r="D258" s="237"/>
      <c r="E258" s="242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34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1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37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</row>
    <row r="259" spans="1:68" ht="14.25" hidden="1" customHeight="1" outlineLevel="1">
      <c r="A259" s="233"/>
      <c r="B259" s="237"/>
      <c r="C259" s="237"/>
      <c r="D259" s="237"/>
      <c r="E259" s="242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34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1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37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</row>
    <row r="260" spans="1:68" ht="14.25" hidden="1" customHeight="1" outlineLevel="1">
      <c r="A260" s="233"/>
      <c r="B260" s="237"/>
      <c r="C260" s="237"/>
      <c r="D260" s="237"/>
      <c r="E260" s="242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34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1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37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</row>
    <row r="261" spans="1:68" ht="14.25" hidden="1" customHeight="1" outlineLevel="1">
      <c r="A261" s="233"/>
      <c r="B261" s="237"/>
      <c r="C261" s="237"/>
      <c r="D261" s="237"/>
      <c r="E261" s="242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34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1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37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</row>
    <row r="262" spans="1:68" ht="14.25" hidden="1" customHeight="1" outlineLevel="1">
      <c r="A262" s="233"/>
      <c r="B262" s="237"/>
      <c r="C262" s="237"/>
      <c r="D262" s="237"/>
      <c r="E262" s="242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34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1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37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</row>
    <row r="263" spans="1:68" ht="14.25" hidden="1" customHeight="1" outlineLevel="1">
      <c r="A263" s="233"/>
      <c r="B263" s="237"/>
      <c r="C263" s="237"/>
      <c r="D263" s="237"/>
      <c r="E263" s="242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34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1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37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</row>
    <row r="264" spans="1:68" ht="14.25" hidden="1" customHeight="1" outlineLevel="1">
      <c r="A264" s="233"/>
      <c r="B264" s="237"/>
      <c r="C264" s="237"/>
      <c r="D264" s="237"/>
      <c r="E264" s="242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34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1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37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</row>
    <row r="265" spans="1:68" ht="14.25" hidden="1" customHeight="1" outlineLevel="1">
      <c r="A265" s="233"/>
      <c r="B265" s="237"/>
      <c r="C265" s="237"/>
      <c r="D265" s="237"/>
      <c r="E265" s="242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34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1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37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</row>
    <row r="266" spans="1:68" ht="14.25" hidden="1" customHeight="1" outlineLevel="1">
      <c r="A266" s="233"/>
      <c r="B266" s="237"/>
      <c r="C266" s="237"/>
      <c r="D266" s="237"/>
      <c r="E266" s="242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34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1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37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</row>
    <row r="267" spans="1:68" ht="14.25" hidden="1" customHeight="1" outlineLevel="1">
      <c r="A267" s="233"/>
      <c r="B267" s="237"/>
      <c r="C267" s="237"/>
      <c r="D267" s="237"/>
      <c r="E267" s="242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34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1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37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</row>
    <row r="268" spans="1:68" ht="14.25" hidden="1" customHeight="1" outlineLevel="1">
      <c r="A268" s="233"/>
      <c r="B268" s="237"/>
      <c r="C268" s="237"/>
      <c r="D268" s="237"/>
      <c r="E268" s="242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34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1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37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</row>
    <row r="269" spans="1:68" ht="14.25" hidden="1" customHeight="1" outlineLevel="1">
      <c r="A269" s="233"/>
      <c r="B269" s="237"/>
      <c r="C269" s="237"/>
      <c r="D269" s="237"/>
      <c r="E269" s="242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34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1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37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</row>
    <row r="270" spans="1:68" ht="14.25" hidden="1" customHeight="1" outlineLevel="1">
      <c r="A270" s="233"/>
      <c r="B270" s="237"/>
      <c r="C270" s="237"/>
      <c r="D270" s="237"/>
      <c r="E270" s="242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34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1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37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</row>
    <row r="271" spans="1:68" ht="14.25" hidden="1" customHeight="1" outlineLevel="1">
      <c r="A271" s="233"/>
      <c r="B271" s="237"/>
      <c r="C271" s="237"/>
      <c r="D271" s="237"/>
      <c r="E271" s="242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34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1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37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</row>
    <row r="272" spans="1:68" ht="14.25" hidden="1" customHeight="1" outlineLevel="1">
      <c r="A272" s="233"/>
      <c r="B272" s="237"/>
      <c r="C272" s="237"/>
      <c r="D272" s="237"/>
      <c r="E272" s="242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34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1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37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</row>
    <row r="273" spans="1:68" ht="14.25" hidden="1" customHeight="1" outlineLevel="1">
      <c r="A273" s="233"/>
      <c r="B273" s="237"/>
      <c r="C273" s="237"/>
      <c r="D273" s="237"/>
      <c r="E273" s="242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34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1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37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</row>
    <row r="274" spans="1:68" ht="14.25" hidden="1" customHeight="1" outlineLevel="1">
      <c r="A274" s="233"/>
      <c r="B274" s="237"/>
      <c r="C274" s="237"/>
      <c r="D274" s="237"/>
      <c r="E274" s="242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34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1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37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</row>
    <row r="275" spans="1:68" ht="14.25" hidden="1" customHeight="1" outlineLevel="1">
      <c r="A275" s="233"/>
      <c r="B275" s="237"/>
      <c r="C275" s="237"/>
      <c r="D275" s="237"/>
      <c r="E275" s="242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34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1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37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</row>
    <row r="276" spans="1:68" ht="14.25" hidden="1" customHeight="1" outlineLevel="1">
      <c r="A276" s="233"/>
      <c r="B276" s="237"/>
      <c r="C276" s="237"/>
      <c r="D276" s="237"/>
      <c r="E276" s="242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34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1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37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</row>
    <row r="277" spans="1:68" ht="14.25" hidden="1" customHeight="1" outlineLevel="1">
      <c r="A277" s="233"/>
      <c r="B277" s="237"/>
      <c r="C277" s="237"/>
      <c r="D277" s="237"/>
      <c r="E277" s="242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34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1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37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</row>
    <row r="278" spans="1:68" ht="14.25" hidden="1" customHeight="1" outlineLevel="1">
      <c r="A278" s="233"/>
      <c r="B278" s="237"/>
      <c r="C278" s="237"/>
      <c r="D278" s="237"/>
      <c r="E278" s="242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34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1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37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</row>
    <row r="279" spans="1:68" ht="14.25" hidden="1" customHeight="1" outlineLevel="1">
      <c r="A279" s="233"/>
      <c r="B279" s="237"/>
      <c r="C279" s="237"/>
      <c r="D279" s="237"/>
      <c r="E279" s="242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34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1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37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</row>
    <row r="280" spans="1:68" ht="14.25" hidden="1" customHeight="1" outlineLevel="1">
      <c r="A280" s="233"/>
      <c r="B280" s="237"/>
      <c r="C280" s="237"/>
      <c r="D280" s="237"/>
      <c r="E280" s="242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34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1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37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</row>
    <row r="281" spans="1:68" ht="14.25" hidden="1" customHeight="1" outlineLevel="1">
      <c r="A281" s="233"/>
      <c r="B281" s="237"/>
      <c r="C281" s="237"/>
      <c r="D281" s="237"/>
      <c r="E281" s="242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34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1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37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</row>
    <row r="282" spans="1:68" ht="14.25" hidden="1" customHeight="1" outlineLevel="1">
      <c r="A282" s="233"/>
      <c r="B282" s="237"/>
      <c r="C282" s="237"/>
      <c r="D282" s="237"/>
      <c r="E282" s="242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34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1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37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</row>
    <row r="283" spans="1:68" ht="14.25" hidden="1" customHeight="1" outlineLevel="1">
      <c r="A283" s="233"/>
      <c r="B283" s="237"/>
      <c r="C283" s="237"/>
      <c r="D283" s="237"/>
      <c r="E283" s="242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34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1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37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</row>
    <row r="284" spans="1:68" ht="14.25" hidden="1" customHeight="1" outlineLevel="1">
      <c r="A284" s="233"/>
      <c r="B284" s="237"/>
      <c r="C284" s="237"/>
      <c r="D284" s="237"/>
      <c r="E284" s="242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34"/>
      <c r="T284" s="242"/>
      <c r="U284" s="242"/>
      <c r="V284" s="242"/>
      <c r="W284" s="242"/>
      <c r="X284" s="242"/>
      <c r="Y284" s="242"/>
      <c r="Z284" s="242"/>
      <c r="AA284" s="242"/>
      <c r="AB284" s="242"/>
      <c r="AC284" s="242"/>
      <c r="AD284" s="242"/>
      <c r="AE284" s="242"/>
      <c r="AF284" s="242"/>
      <c r="AG284" s="242"/>
      <c r="AH284" s="242"/>
      <c r="AI284" s="242"/>
      <c r="AJ284" s="242"/>
      <c r="AK284" s="242"/>
      <c r="AL284" s="242"/>
      <c r="AM284" s="242"/>
      <c r="AN284" s="241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37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</row>
    <row r="285" spans="1:68" ht="14.25" hidden="1" customHeight="1" outlineLevel="1">
      <c r="A285" s="233"/>
      <c r="B285" s="237"/>
      <c r="C285" s="237"/>
      <c r="D285" s="237"/>
      <c r="E285" s="242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34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1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37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</row>
    <row r="286" spans="1:68" ht="14.25" hidden="1" customHeight="1" outlineLevel="1">
      <c r="A286" s="233"/>
      <c r="B286" s="237"/>
      <c r="C286" s="237"/>
      <c r="D286" s="237"/>
      <c r="E286" s="242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34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1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37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</row>
    <row r="287" spans="1:68" ht="14.25" hidden="1" customHeight="1" outlineLevel="1">
      <c r="A287" s="233"/>
      <c r="B287" s="237"/>
      <c r="C287" s="237"/>
      <c r="D287" s="237"/>
      <c r="E287" s="242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34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1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37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</row>
    <row r="288" spans="1:68" ht="14.25" hidden="1" customHeight="1" outlineLevel="1">
      <c r="A288" s="233"/>
      <c r="B288" s="237"/>
      <c r="C288" s="237"/>
      <c r="D288" s="237"/>
      <c r="E288" s="242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34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1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37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</row>
    <row r="289" spans="1:68" ht="14.25" hidden="1" customHeight="1" outlineLevel="1">
      <c r="A289" s="233"/>
      <c r="B289" s="237"/>
      <c r="C289" s="237"/>
      <c r="D289" s="237"/>
      <c r="E289" s="242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34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1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37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</row>
    <row r="290" spans="1:68" ht="14.25" hidden="1" customHeight="1" outlineLevel="1">
      <c r="A290" s="233"/>
      <c r="B290" s="237"/>
      <c r="C290" s="237"/>
      <c r="D290" s="237"/>
      <c r="E290" s="242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34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1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37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</row>
    <row r="291" spans="1:68" ht="14.25" hidden="1" customHeight="1" outlineLevel="1">
      <c r="A291" s="233"/>
      <c r="B291" s="237"/>
      <c r="C291" s="237"/>
      <c r="D291" s="237"/>
      <c r="E291" s="242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34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1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37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</row>
    <row r="292" spans="1:68" ht="14.25" hidden="1" customHeight="1" outlineLevel="1">
      <c r="A292" s="233"/>
      <c r="B292" s="237"/>
      <c r="C292" s="237"/>
      <c r="D292" s="237"/>
      <c r="E292" s="242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34"/>
      <c r="T292" s="242"/>
      <c r="U292" s="242"/>
      <c r="V292" s="242"/>
      <c r="W292" s="242"/>
      <c r="X292" s="242"/>
      <c r="Y292" s="242"/>
      <c r="Z292" s="242"/>
      <c r="AA292" s="242"/>
      <c r="AB292" s="242"/>
      <c r="AC292" s="242"/>
      <c r="AD292" s="242"/>
      <c r="AE292" s="242"/>
      <c r="AF292" s="242"/>
      <c r="AG292" s="242"/>
      <c r="AH292" s="242"/>
      <c r="AI292" s="242"/>
      <c r="AJ292" s="242"/>
      <c r="AK292" s="242"/>
      <c r="AL292" s="242"/>
      <c r="AM292" s="242"/>
      <c r="AN292" s="241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37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</row>
    <row r="293" spans="1:68" ht="14.25" hidden="1" customHeight="1" outlineLevel="1">
      <c r="A293" s="233"/>
      <c r="B293" s="237"/>
      <c r="C293" s="237"/>
      <c r="D293" s="237"/>
      <c r="E293" s="242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34"/>
      <c r="T293" s="242"/>
      <c r="U293" s="242"/>
      <c r="V293" s="242"/>
      <c r="W293" s="242"/>
      <c r="X293" s="242"/>
      <c r="Y293" s="242"/>
      <c r="Z293" s="242"/>
      <c r="AA293" s="242"/>
      <c r="AB293" s="242"/>
      <c r="AC293" s="242"/>
      <c r="AD293" s="242"/>
      <c r="AE293" s="242"/>
      <c r="AF293" s="242"/>
      <c r="AG293" s="242"/>
      <c r="AH293" s="242"/>
      <c r="AI293" s="242"/>
      <c r="AJ293" s="242"/>
      <c r="AK293" s="242"/>
      <c r="AL293" s="242"/>
      <c r="AM293" s="242"/>
      <c r="AN293" s="241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37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</row>
    <row r="294" spans="1:68" ht="14.25" hidden="1" customHeight="1" outlineLevel="1">
      <c r="A294" s="233"/>
      <c r="B294" s="237"/>
      <c r="C294" s="237"/>
      <c r="D294" s="237"/>
      <c r="E294" s="242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34"/>
      <c r="T294" s="242"/>
      <c r="U294" s="242"/>
      <c r="V294" s="242"/>
      <c r="W294" s="242"/>
      <c r="X294" s="242"/>
      <c r="Y294" s="242"/>
      <c r="Z294" s="242"/>
      <c r="AA294" s="242"/>
      <c r="AB294" s="242"/>
      <c r="AC294" s="242"/>
      <c r="AD294" s="242"/>
      <c r="AE294" s="242"/>
      <c r="AF294" s="242"/>
      <c r="AG294" s="242"/>
      <c r="AH294" s="242"/>
      <c r="AI294" s="242"/>
      <c r="AJ294" s="242"/>
      <c r="AK294" s="242"/>
      <c r="AL294" s="242"/>
      <c r="AM294" s="242"/>
      <c r="AN294" s="241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37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</row>
    <row r="295" spans="1:68" ht="14.25" hidden="1" customHeight="1" outlineLevel="1">
      <c r="A295" s="233"/>
      <c r="B295" s="237"/>
      <c r="C295" s="237"/>
      <c r="D295" s="237"/>
      <c r="E295" s="242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34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242"/>
      <c r="AF295" s="242"/>
      <c r="AG295" s="242"/>
      <c r="AH295" s="242"/>
      <c r="AI295" s="242"/>
      <c r="AJ295" s="242"/>
      <c r="AK295" s="242"/>
      <c r="AL295" s="242"/>
      <c r="AM295" s="242"/>
      <c r="AN295" s="241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37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</row>
    <row r="296" spans="1:68" ht="14.25" hidden="1" customHeight="1" outlineLevel="1">
      <c r="A296" s="233"/>
      <c r="B296" s="237"/>
      <c r="C296" s="237"/>
      <c r="D296" s="237"/>
      <c r="E296" s="242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34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1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37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</row>
    <row r="297" spans="1:68" ht="14.25" hidden="1" customHeight="1" outlineLevel="1">
      <c r="A297" s="233"/>
      <c r="B297" s="237"/>
      <c r="C297" s="237"/>
      <c r="D297" s="237"/>
      <c r="E297" s="242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34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1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37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</row>
    <row r="298" spans="1:68" ht="14.25" hidden="1" customHeight="1" outlineLevel="1">
      <c r="A298" s="233"/>
      <c r="B298" s="237"/>
      <c r="C298" s="237"/>
      <c r="D298" s="237"/>
      <c r="E298" s="242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34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1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37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</row>
    <row r="299" spans="1:68" ht="14.25" hidden="1" customHeight="1" outlineLevel="1">
      <c r="A299" s="233"/>
      <c r="B299" s="237"/>
      <c r="C299" s="237"/>
      <c r="D299" s="237"/>
      <c r="E299" s="242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34"/>
      <c r="T299" s="242"/>
      <c r="U299" s="242"/>
      <c r="V299" s="242"/>
      <c r="W299" s="242"/>
      <c r="X299" s="242"/>
      <c r="Y299" s="242"/>
      <c r="Z299" s="242"/>
      <c r="AA299" s="242"/>
      <c r="AB299" s="242"/>
      <c r="AC299" s="242"/>
      <c r="AD299" s="242"/>
      <c r="AE299" s="242"/>
      <c r="AF299" s="242"/>
      <c r="AG299" s="242"/>
      <c r="AH299" s="242"/>
      <c r="AI299" s="242"/>
      <c r="AJ299" s="242"/>
      <c r="AK299" s="242"/>
      <c r="AL299" s="242"/>
      <c r="AM299" s="242"/>
      <c r="AN299" s="241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37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</row>
    <row r="300" spans="1:68" ht="14.25" hidden="1" customHeight="1" outlineLevel="1">
      <c r="A300" s="233"/>
      <c r="B300" s="237"/>
      <c r="C300" s="237"/>
      <c r="D300" s="237"/>
      <c r="E300" s="242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34"/>
      <c r="T300" s="242"/>
      <c r="U300" s="242"/>
      <c r="V300" s="242"/>
      <c r="W300" s="242"/>
      <c r="X300" s="242"/>
      <c r="Y300" s="242"/>
      <c r="Z300" s="242"/>
      <c r="AA300" s="242"/>
      <c r="AB300" s="242"/>
      <c r="AC300" s="242"/>
      <c r="AD300" s="242"/>
      <c r="AE300" s="242"/>
      <c r="AF300" s="242"/>
      <c r="AG300" s="242"/>
      <c r="AH300" s="242"/>
      <c r="AI300" s="242"/>
      <c r="AJ300" s="242"/>
      <c r="AK300" s="242"/>
      <c r="AL300" s="242"/>
      <c r="AM300" s="242"/>
      <c r="AN300" s="241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37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</row>
    <row r="301" spans="1:68" ht="14.25" hidden="1" customHeight="1" outlineLevel="1">
      <c r="A301" s="233"/>
      <c r="B301" s="237"/>
      <c r="C301" s="237"/>
      <c r="D301" s="237"/>
      <c r="E301" s="242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34"/>
      <c r="T301" s="242"/>
      <c r="U301" s="242"/>
      <c r="V301" s="242"/>
      <c r="W301" s="242"/>
      <c r="X301" s="242"/>
      <c r="Y301" s="242"/>
      <c r="Z301" s="242"/>
      <c r="AA301" s="242"/>
      <c r="AB301" s="242"/>
      <c r="AC301" s="242"/>
      <c r="AD301" s="242"/>
      <c r="AE301" s="242"/>
      <c r="AF301" s="242"/>
      <c r="AG301" s="242"/>
      <c r="AH301" s="242"/>
      <c r="AI301" s="242"/>
      <c r="AJ301" s="242"/>
      <c r="AK301" s="242"/>
      <c r="AL301" s="242"/>
      <c r="AM301" s="242"/>
      <c r="AN301" s="241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37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</row>
    <row r="302" spans="1:68" ht="14.25" hidden="1" customHeight="1" outlineLevel="1">
      <c r="A302" s="233"/>
      <c r="B302" s="237"/>
      <c r="C302" s="237"/>
      <c r="D302" s="237"/>
      <c r="E302" s="242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34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242"/>
      <c r="AF302" s="242"/>
      <c r="AG302" s="242"/>
      <c r="AH302" s="242"/>
      <c r="AI302" s="242"/>
      <c r="AJ302" s="242"/>
      <c r="AK302" s="242"/>
      <c r="AL302" s="242"/>
      <c r="AM302" s="242"/>
      <c r="AN302" s="241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37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</row>
    <row r="303" spans="1:68" ht="14.25" hidden="1" customHeight="1" outlineLevel="1">
      <c r="A303" s="233"/>
      <c r="B303" s="237"/>
      <c r="C303" s="237"/>
      <c r="D303" s="237"/>
      <c r="E303" s="242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34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1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37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</row>
    <row r="304" spans="1:68" ht="14.25" hidden="1" customHeight="1" outlineLevel="1">
      <c r="A304" s="233"/>
      <c r="B304" s="237"/>
      <c r="C304" s="237"/>
      <c r="D304" s="237"/>
      <c r="E304" s="242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34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1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37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</row>
    <row r="305" spans="1:68" ht="14.25" hidden="1" customHeight="1" outlineLevel="1">
      <c r="A305" s="233"/>
      <c r="B305" s="237"/>
      <c r="C305" s="237"/>
      <c r="D305" s="237"/>
      <c r="E305" s="242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34"/>
      <c r="T305" s="242"/>
      <c r="U305" s="242"/>
      <c r="V305" s="242"/>
      <c r="W305" s="242"/>
      <c r="X305" s="242"/>
      <c r="Y305" s="242"/>
      <c r="Z305" s="242"/>
      <c r="AA305" s="242"/>
      <c r="AB305" s="242"/>
      <c r="AC305" s="242"/>
      <c r="AD305" s="242"/>
      <c r="AE305" s="242"/>
      <c r="AF305" s="242"/>
      <c r="AG305" s="242"/>
      <c r="AH305" s="242"/>
      <c r="AI305" s="242"/>
      <c r="AJ305" s="242"/>
      <c r="AK305" s="242"/>
      <c r="AL305" s="242"/>
      <c r="AM305" s="242"/>
      <c r="AN305" s="241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37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</row>
    <row r="306" spans="1:68" ht="14.25" hidden="1" customHeight="1" outlineLevel="1">
      <c r="A306" s="233"/>
      <c r="B306" s="237"/>
      <c r="C306" s="237"/>
      <c r="D306" s="237"/>
      <c r="E306" s="242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34"/>
      <c r="T306" s="242"/>
      <c r="U306" s="242"/>
      <c r="V306" s="242"/>
      <c r="W306" s="242"/>
      <c r="X306" s="242"/>
      <c r="Y306" s="242"/>
      <c r="Z306" s="242"/>
      <c r="AA306" s="242"/>
      <c r="AB306" s="242"/>
      <c r="AC306" s="242"/>
      <c r="AD306" s="242"/>
      <c r="AE306" s="242"/>
      <c r="AF306" s="242"/>
      <c r="AG306" s="242"/>
      <c r="AH306" s="242"/>
      <c r="AI306" s="242"/>
      <c r="AJ306" s="242"/>
      <c r="AK306" s="242"/>
      <c r="AL306" s="242"/>
      <c r="AM306" s="242"/>
      <c r="AN306" s="241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37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</row>
    <row r="307" spans="1:68" ht="14.25" hidden="1" customHeight="1" outlineLevel="1">
      <c r="A307" s="233"/>
      <c r="B307" s="237"/>
      <c r="C307" s="237"/>
      <c r="D307" s="237"/>
      <c r="E307" s="242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34"/>
      <c r="T307" s="242"/>
      <c r="U307" s="242"/>
      <c r="V307" s="242"/>
      <c r="W307" s="242"/>
      <c r="X307" s="242"/>
      <c r="Y307" s="242"/>
      <c r="Z307" s="242"/>
      <c r="AA307" s="242"/>
      <c r="AB307" s="242"/>
      <c r="AC307" s="242"/>
      <c r="AD307" s="242"/>
      <c r="AE307" s="242"/>
      <c r="AF307" s="242"/>
      <c r="AG307" s="242"/>
      <c r="AH307" s="242"/>
      <c r="AI307" s="242"/>
      <c r="AJ307" s="242"/>
      <c r="AK307" s="242"/>
      <c r="AL307" s="242"/>
      <c r="AM307" s="242"/>
      <c r="AN307" s="241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37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</row>
    <row r="308" spans="1:68" ht="14.25" hidden="1" customHeight="1" outlineLevel="1">
      <c r="A308" s="233"/>
      <c r="B308" s="237"/>
      <c r="C308" s="237"/>
      <c r="D308" s="237"/>
      <c r="E308" s="242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34"/>
      <c r="T308" s="242"/>
      <c r="U308" s="242"/>
      <c r="V308" s="242"/>
      <c r="W308" s="242"/>
      <c r="X308" s="242"/>
      <c r="Y308" s="242"/>
      <c r="Z308" s="242"/>
      <c r="AA308" s="242"/>
      <c r="AB308" s="242"/>
      <c r="AC308" s="242"/>
      <c r="AD308" s="242"/>
      <c r="AE308" s="242"/>
      <c r="AF308" s="242"/>
      <c r="AG308" s="242"/>
      <c r="AH308" s="242"/>
      <c r="AI308" s="242"/>
      <c r="AJ308" s="242"/>
      <c r="AK308" s="242"/>
      <c r="AL308" s="242"/>
      <c r="AM308" s="242"/>
      <c r="AN308" s="241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37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</row>
    <row r="309" spans="1:68" ht="14.25" hidden="1" customHeight="1" outlineLevel="1">
      <c r="A309" s="233"/>
      <c r="B309" s="237"/>
      <c r="C309" s="237"/>
      <c r="D309" s="237"/>
      <c r="E309" s="242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34"/>
      <c r="T309" s="242"/>
      <c r="U309" s="242"/>
      <c r="V309" s="242"/>
      <c r="W309" s="242"/>
      <c r="X309" s="242"/>
      <c r="Y309" s="242"/>
      <c r="Z309" s="242"/>
      <c r="AA309" s="242"/>
      <c r="AB309" s="242"/>
      <c r="AC309" s="242"/>
      <c r="AD309" s="242"/>
      <c r="AE309" s="242"/>
      <c r="AF309" s="242"/>
      <c r="AG309" s="242"/>
      <c r="AH309" s="242"/>
      <c r="AI309" s="242"/>
      <c r="AJ309" s="242"/>
      <c r="AK309" s="242"/>
      <c r="AL309" s="242"/>
      <c r="AM309" s="242"/>
      <c r="AN309" s="241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37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</row>
    <row r="310" spans="1:68" ht="14.25" hidden="1" customHeight="1" outlineLevel="1">
      <c r="A310" s="233"/>
      <c r="B310" s="237"/>
      <c r="C310" s="237"/>
      <c r="D310" s="237"/>
      <c r="E310" s="242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34"/>
      <c r="T310" s="242"/>
      <c r="U310" s="242"/>
      <c r="V310" s="242"/>
      <c r="W310" s="242"/>
      <c r="X310" s="242"/>
      <c r="Y310" s="242"/>
      <c r="Z310" s="242"/>
      <c r="AA310" s="242"/>
      <c r="AB310" s="242"/>
      <c r="AC310" s="242"/>
      <c r="AD310" s="242"/>
      <c r="AE310" s="242"/>
      <c r="AF310" s="242"/>
      <c r="AG310" s="242"/>
      <c r="AH310" s="242"/>
      <c r="AI310" s="242"/>
      <c r="AJ310" s="242"/>
      <c r="AK310" s="242"/>
      <c r="AL310" s="242"/>
      <c r="AM310" s="242"/>
      <c r="AN310" s="241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37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</row>
    <row r="311" spans="1:68" ht="14.25" hidden="1" customHeight="1" outlineLevel="1">
      <c r="A311" s="233"/>
      <c r="B311" s="237"/>
      <c r="C311" s="237"/>
      <c r="D311" s="237"/>
      <c r="E311" s="242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34"/>
      <c r="T311" s="242"/>
      <c r="U311" s="242"/>
      <c r="V311" s="242"/>
      <c r="W311" s="242"/>
      <c r="X311" s="242"/>
      <c r="Y311" s="242"/>
      <c r="Z311" s="242"/>
      <c r="AA311" s="242"/>
      <c r="AB311" s="242"/>
      <c r="AC311" s="242"/>
      <c r="AD311" s="242"/>
      <c r="AE311" s="242"/>
      <c r="AF311" s="242"/>
      <c r="AG311" s="242"/>
      <c r="AH311" s="242"/>
      <c r="AI311" s="242"/>
      <c r="AJ311" s="242"/>
      <c r="AK311" s="242"/>
      <c r="AL311" s="242"/>
      <c r="AM311" s="242"/>
      <c r="AN311" s="241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37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</row>
    <row r="312" spans="1:68" ht="14.25" hidden="1" customHeight="1" outlineLevel="1">
      <c r="A312" s="233"/>
      <c r="B312" s="237"/>
      <c r="C312" s="237"/>
      <c r="D312" s="237"/>
      <c r="E312" s="242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34"/>
      <c r="T312" s="242"/>
      <c r="U312" s="242"/>
      <c r="V312" s="242"/>
      <c r="W312" s="242"/>
      <c r="X312" s="242"/>
      <c r="Y312" s="242"/>
      <c r="Z312" s="242"/>
      <c r="AA312" s="242"/>
      <c r="AB312" s="242"/>
      <c r="AC312" s="242"/>
      <c r="AD312" s="242"/>
      <c r="AE312" s="242"/>
      <c r="AF312" s="242"/>
      <c r="AG312" s="242"/>
      <c r="AH312" s="242"/>
      <c r="AI312" s="242"/>
      <c r="AJ312" s="242"/>
      <c r="AK312" s="242"/>
      <c r="AL312" s="242"/>
      <c r="AM312" s="242"/>
      <c r="AN312" s="241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37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</row>
    <row r="313" spans="1:68" ht="14.25" hidden="1" customHeight="1" outlineLevel="1">
      <c r="A313" s="233"/>
      <c r="B313" s="237"/>
      <c r="C313" s="237"/>
      <c r="D313" s="237"/>
      <c r="E313" s="242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34"/>
      <c r="T313" s="242"/>
      <c r="U313" s="242"/>
      <c r="V313" s="242"/>
      <c r="W313" s="242"/>
      <c r="X313" s="242"/>
      <c r="Y313" s="242"/>
      <c r="Z313" s="242"/>
      <c r="AA313" s="242"/>
      <c r="AB313" s="242"/>
      <c r="AC313" s="242"/>
      <c r="AD313" s="242"/>
      <c r="AE313" s="242"/>
      <c r="AF313" s="242"/>
      <c r="AG313" s="242"/>
      <c r="AH313" s="242"/>
      <c r="AI313" s="242"/>
      <c r="AJ313" s="242"/>
      <c r="AK313" s="242"/>
      <c r="AL313" s="242"/>
      <c r="AM313" s="242"/>
      <c r="AN313" s="241"/>
      <c r="AO313" s="242"/>
      <c r="AP313" s="242"/>
      <c r="AQ313" s="242"/>
      <c r="AR313" s="242"/>
      <c r="AS313" s="242"/>
      <c r="AT313" s="242"/>
      <c r="AU313" s="242"/>
      <c r="AV313" s="242"/>
      <c r="AW313" s="242"/>
      <c r="AX313" s="242"/>
      <c r="AY313" s="242"/>
      <c r="AZ313" s="242"/>
      <c r="BA313" s="242"/>
      <c r="BB313" s="237"/>
      <c r="BC313" s="242"/>
      <c r="BD313" s="242"/>
      <c r="BE313" s="242"/>
      <c r="BF313" s="242"/>
      <c r="BG313" s="242"/>
      <c r="BH313" s="242"/>
      <c r="BI313" s="242"/>
      <c r="BJ313" s="242"/>
      <c r="BK313" s="242"/>
      <c r="BL313" s="242"/>
      <c r="BM313" s="242"/>
      <c r="BN313" s="242"/>
      <c r="BO313" s="242"/>
      <c r="BP313" s="242"/>
    </row>
    <row r="314" spans="1:68" ht="14.25" hidden="1" customHeight="1" outlineLevel="1">
      <c r="A314" s="233"/>
      <c r="B314" s="237"/>
      <c r="C314" s="237"/>
      <c r="D314" s="237"/>
      <c r="E314" s="242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34"/>
      <c r="T314" s="242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42"/>
      <c r="AE314" s="242"/>
      <c r="AF314" s="242"/>
      <c r="AG314" s="242"/>
      <c r="AH314" s="242"/>
      <c r="AI314" s="242"/>
      <c r="AJ314" s="242"/>
      <c r="AK314" s="242"/>
      <c r="AL314" s="242"/>
      <c r="AM314" s="242"/>
      <c r="AN314" s="241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37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</row>
    <row r="315" spans="1:68" ht="14.25" hidden="1" customHeight="1" outlineLevel="1">
      <c r="A315" s="233"/>
      <c r="B315" s="237"/>
      <c r="C315" s="237"/>
      <c r="D315" s="237"/>
      <c r="E315" s="242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34"/>
      <c r="T315" s="242"/>
      <c r="U315" s="242"/>
      <c r="V315" s="242"/>
      <c r="W315" s="242"/>
      <c r="X315" s="242"/>
      <c r="Y315" s="242"/>
      <c r="Z315" s="242"/>
      <c r="AA315" s="242"/>
      <c r="AB315" s="242"/>
      <c r="AC315" s="242"/>
      <c r="AD315" s="242"/>
      <c r="AE315" s="242"/>
      <c r="AF315" s="242"/>
      <c r="AG315" s="242"/>
      <c r="AH315" s="242"/>
      <c r="AI315" s="242"/>
      <c r="AJ315" s="242"/>
      <c r="AK315" s="242"/>
      <c r="AL315" s="242"/>
      <c r="AM315" s="242"/>
      <c r="AN315" s="241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37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</row>
    <row r="316" spans="1:68" ht="14.25" hidden="1" customHeight="1" outlineLevel="1">
      <c r="A316" s="233"/>
      <c r="B316" s="237"/>
      <c r="C316" s="237"/>
      <c r="D316" s="237"/>
      <c r="E316" s="242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34"/>
      <c r="T316" s="242"/>
      <c r="U316" s="242"/>
      <c r="V316" s="242"/>
      <c r="W316" s="242"/>
      <c r="X316" s="242"/>
      <c r="Y316" s="242"/>
      <c r="Z316" s="242"/>
      <c r="AA316" s="242"/>
      <c r="AB316" s="242"/>
      <c r="AC316" s="242"/>
      <c r="AD316" s="242"/>
      <c r="AE316" s="242"/>
      <c r="AF316" s="242"/>
      <c r="AG316" s="242"/>
      <c r="AH316" s="242"/>
      <c r="AI316" s="242"/>
      <c r="AJ316" s="242"/>
      <c r="AK316" s="242"/>
      <c r="AL316" s="242"/>
      <c r="AM316" s="242"/>
      <c r="AN316" s="241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37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</row>
    <row r="317" spans="1:68" ht="14.25" hidden="1" customHeight="1" outlineLevel="1">
      <c r="A317" s="233"/>
      <c r="B317" s="237"/>
      <c r="C317" s="237"/>
      <c r="D317" s="237"/>
      <c r="E317" s="242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34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1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37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</row>
    <row r="318" spans="1:68" ht="14.25" hidden="1" customHeight="1" outlineLevel="1">
      <c r="A318" s="233"/>
      <c r="B318" s="237"/>
      <c r="C318" s="237"/>
      <c r="D318" s="237"/>
      <c r="E318" s="242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34"/>
      <c r="T318" s="242"/>
      <c r="U318" s="242"/>
      <c r="V318" s="242"/>
      <c r="W318" s="242"/>
      <c r="X318" s="242"/>
      <c r="Y318" s="242"/>
      <c r="Z318" s="242"/>
      <c r="AA318" s="242"/>
      <c r="AB318" s="242"/>
      <c r="AC318" s="242"/>
      <c r="AD318" s="242"/>
      <c r="AE318" s="242"/>
      <c r="AF318" s="242"/>
      <c r="AG318" s="242"/>
      <c r="AH318" s="242"/>
      <c r="AI318" s="242"/>
      <c r="AJ318" s="242"/>
      <c r="AK318" s="242"/>
      <c r="AL318" s="242"/>
      <c r="AM318" s="242"/>
      <c r="AN318" s="241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37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</row>
    <row r="319" spans="1:68" ht="14.25" hidden="1" customHeight="1" outlineLevel="1">
      <c r="A319" s="233"/>
      <c r="B319" s="237"/>
      <c r="C319" s="237"/>
      <c r="D319" s="237"/>
      <c r="E319" s="242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34"/>
      <c r="T319" s="242"/>
      <c r="U319" s="242"/>
      <c r="V319" s="242"/>
      <c r="W319" s="242"/>
      <c r="X319" s="242"/>
      <c r="Y319" s="242"/>
      <c r="Z319" s="242"/>
      <c r="AA319" s="242"/>
      <c r="AB319" s="242"/>
      <c r="AC319" s="242"/>
      <c r="AD319" s="242"/>
      <c r="AE319" s="242"/>
      <c r="AF319" s="242"/>
      <c r="AG319" s="242"/>
      <c r="AH319" s="242"/>
      <c r="AI319" s="242"/>
      <c r="AJ319" s="242"/>
      <c r="AK319" s="242"/>
      <c r="AL319" s="242"/>
      <c r="AM319" s="242"/>
      <c r="AN319" s="241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37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</row>
    <row r="320" spans="1:68" ht="14.25" hidden="1" customHeight="1" outlineLevel="1">
      <c r="A320" s="233"/>
      <c r="B320" s="237"/>
      <c r="C320" s="237"/>
      <c r="D320" s="237"/>
      <c r="E320" s="242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34"/>
      <c r="T320" s="242"/>
      <c r="U320" s="242"/>
      <c r="V320" s="242"/>
      <c r="W320" s="242"/>
      <c r="X320" s="242"/>
      <c r="Y320" s="242"/>
      <c r="Z320" s="242"/>
      <c r="AA320" s="242"/>
      <c r="AB320" s="242"/>
      <c r="AC320" s="242"/>
      <c r="AD320" s="242"/>
      <c r="AE320" s="242"/>
      <c r="AF320" s="242"/>
      <c r="AG320" s="242"/>
      <c r="AH320" s="242"/>
      <c r="AI320" s="242"/>
      <c r="AJ320" s="242"/>
      <c r="AK320" s="242"/>
      <c r="AL320" s="242"/>
      <c r="AM320" s="242"/>
      <c r="AN320" s="241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37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</row>
    <row r="321" spans="1:68" ht="14.25" hidden="1" customHeight="1" outlineLevel="1">
      <c r="A321" s="233"/>
      <c r="B321" s="237"/>
      <c r="C321" s="237"/>
      <c r="D321" s="237"/>
      <c r="E321" s="242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34"/>
      <c r="T321" s="242"/>
      <c r="U321" s="242"/>
      <c r="V321" s="242"/>
      <c r="W321" s="242"/>
      <c r="X321" s="242"/>
      <c r="Y321" s="242"/>
      <c r="Z321" s="242"/>
      <c r="AA321" s="242"/>
      <c r="AB321" s="242"/>
      <c r="AC321" s="242"/>
      <c r="AD321" s="242"/>
      <c r="AE321" s="242"/>
      <c r="AF321" s="242"/>
      <c r="AG321" s="242"/>
      <c r="AH321" s="242"/>
      <c r="AI321" s="242"/>
      <c r="AJ321" s="242"/>
      <c r="AK321" s="242"/>
      <c r="AL321" s="242"/>
      <c r="AM321" s="242"/>
      <c r="AN321" s="241"/>
      <c r="AO321" s="242"/>
      <c r="AP321" s="242"/>
      <c r="AQ321" s="242"/>
      <c r="AR321" s="242"/>
      <c r="AS321" s="242"/>
      <c r="AT321" s="242"/>
      <c r="AU321" s="242"/>
      <c r="AV321" s="242"/>
      <c r="AW321" s="242"/>
      <c r="AX321" s="242"/>
      <c r="AY321" s="242"/>
      <c r="AZ321" s="242"/>
      <c r="BA321" s="242"/>
      <c r="BB321" s="237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</row>
    <row r="322" spans="1:68" ht="14.25" hidden="1" customHeight="1" outlineLevel="1">
      <c r="A322" s="233"/>
      <c r="B322" s="237"/>
      <c r="C322" s="237"/>
      <c r="D322" s="237"/>
      <c r="E322" s="242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34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1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37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</row>
    <row r="323" spans="1:68" ht="14.25" hidden="1" customHeight="1" outlineLevel="1">
      <c r="A323" s="233"/>
      <c r="B323" s="237"/>
      <c r="C323" s="237"/>
      <c r="D323" s="237"/>
      <c r="E323" s="242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34"/>
      <c r="T323" s="242"/>
      <c r="U323" s="242"/>
      <c r="V323" s="242"/>
      <c r="W323" s="242"/>
      <c r="X323" s="242"/>
      <c r="Y323" s="242"/>
      <c r="Z323" s="242"/>
      <c r="AA323" s="242"/>
      <c r="AB323" s="242"/>
      <c r="AC323" s="242"/>
      <c r="AD323" s="242"/>
      <c r="AE323" s="242"/>
      <c r="AF323" s="242"/>
      <c r="AG323" s="242"/>
      <c r="AH323" s="242"/>
      <c r="AI323" s="242"/>
      <c r="AJ323" s="242"/>
      <c r="AK323" s="242"/>
      <c r="AL323" s="242"/>
      <c r="AM323" s="242"/>
      <c r="AN323" s="241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37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</row>
    <row r="324" spans="1:68" ht="14.25" hidden="1" customHeight="1" outlineLevel="1">
      <c r="A324" s="233"/>
      <c r="B324" s="237"/>
      <c r="C324" s="237"/>
      <c r="D324" s="237"/>
      <c r="E324" s="242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34"/>
      <c r="T324" s="242"/>
      <c r="U324" s="242"/>
      <c r="V324" s="242"/>
      <c r="W324" s="242"/>
      <c r="X324" s="242"/>
      <c r="Y324" s="242"/>
      <c r="Z324" s="242"/>
      <c r="AA324" s="242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2"/>
      <c r="AN324" s="241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37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</row>
    <row r="325" spans="1:68" ht="14.25" hidden="1" customHeight="1" outlineLevel="1">
      <c r="A325" s="233"/>
      <c r="B325" s="237"/>
      <c r="C325" s="237"/>
      <c r="D325" s="237"/>
      <c r="E325" s="242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34"/>
      <c r="T325" s="242"/>
      <c r="U325" s="242"/>
      <c r="V325" s="242"/>
      <c r="W325" s="242"/>
      <c r="X325" s="242"/>
      <c r="Y325" s="242"/>
      <c r="Z325" s="242"/>
      <c r="AA325" s="242"/>
      <c r="AB325" s="242"/>
      <c r="AC325" s="242"/>
      <c r="AD325" s="242"/>
      <c r="AE325" s="242"/>
      <c r="AF325" s="242"/>
      <c r="AG325" s="242"/>
      <c r="AH325" s="242"/>
      <c r="AI325" s="242"/>
      <c r="AJ325" s="242"/>
      <c r="AK325" s="242"/>
      <c r="AL325" s="242"/>
      <c r="AM325" s="242"/>
      <c r="AN325" s="241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37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</row>
    <row r="326" spans="1:68" ht="14.25" hidden="1" customHeight="1" outlineLevel="1">
      <c r="A326" s="233"/>
      <c r="B326" s="237"/>
      <c r="C326" s="237"/>
      <c r="D326" s="237"/>
      <c r="E326" s="242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34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1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37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</row>
    <row r="327" spans="1:68" ht="14.25" hidden="1" customHeight="1" outlineLevel="1">
      <c r="A327" s="233"/>
      <c r="B327" s="237"/>
      <c r="C327" s="237"/>
      <c r="D327" s="237"/>
      <c r="E327" s="242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34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1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37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</row>
    <row r="328" spans="1:68" ht="14.25" hidden="1" customHeight="1" outlineLevel="1">
      <c r="A328" s="233"/>
      <c r="B328" s="237"/>
      <c r="C328" s="237"/>
      <c r="D328" s="237"/>
      <c r="E328" s="242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34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1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37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</row>
    <row r="329" spans="1:68" ht="14.25" hidden="1" customHeight="1" outlineLevel="1">
      <c r="A329" s="233"/>
      <c r="B329" s="237"/>
      <c r="C329" s="237"/>
      <c r="D329" s="237"/>
      <c r="E329" s="242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34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1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37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</row>
    <row r="330" spans="1:68" ht="14.25" hidden="1" customHeight="1" outlineLevel="1">
      <c r="A330" s="233"/>
      <c r="B330" s="237"/>
      <c r="C330" s="237"/>
      <c r="D330" s="237"/>
      <c r="E330" s="242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34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1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37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</row>
    <row r="331" spans="1:68" ht="14.25" hidden="1" customHeight="1" outlineLevel="1">
      <c r="A331" s="233"/>
      <c r="B331" s="237"/>
      <c r="C331" s="237"/>
      <c r="D331" s="237"/>
      <c r="E331" s="242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34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1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37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</row>
    <row r="332" spans="1:68" ht="14.25" hidden="1" customHeight="1" outlineLevel="1">
      <c r="A332" s="233"/>
      <c r="B332" s="237"/>
      <c r="C332" s="237"/>
      <c r="D332" s="237"/>
      <c r="E332" s="242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34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1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37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</row>
    <row r="333" spans="1:68" ht="14.25" hidden="1" customHeight="1" outlineLevel="1">
      <c r="A333" s="233"/>
      <c r="B333" s="237"/>
      <c r="C333" s="237"/>
      <c r="D333" s="237"/>
      <c r="E333" s="242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34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1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37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</row>
    <row r="334" spans="1:68" ht="14.25" hidden="1" customHeight="1" outlineLevel="1">
      <c r="A334" s="233"/>
      <c r="B334" s="237"/>
      <c r="C334" s="237"/>
      <c r="D334" s="237"/>
      <c r="E334" s="242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34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1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37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</row>
    <row r="335" spans="1:68" ht="14.25" hidden="1" customHeight="1" outlineLevel="1">
      <c r="A335" s="233"/>
      <c r="B335" s="237"/>
      <c r="C335" s="237"/>
      <c r="D335" s="237"/>
      <c r="E335" s="242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34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1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37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</row>
    <row r="336" spans="1:68" ht="14.25" hidden="1" customHeight="1" outlineLevel="1">
      <c r="A336" s="233"/>
      <c r="B336" s="237"/>
      <c r="C336" s="237"/>
      <c r="D336" s="237"/>
      <c r="E336" s="242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34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1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37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</row>
    <row r="337" spans="1:68" ht="14.25" hidden="1" customHeight="1" outlineLevel="1">
      <c r="A337" s="233"/>
      <c r="B337" s="237"/>
      <c r="C337" s="237"/>
      <c r="D337" s="237"/>
      <c r="E337" s="242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34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1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37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</row>
    <row r="338" spans="1:68" ht="14.25" hidden="1" customHeight="1" outlineLevel="1">
      <c r="A338" s="233"/>
      <c r="B338" s="237"/>
      <c r="C338" s="237"/>
      <c r="D338" s="237"/>
      <c r="E338" s="242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34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1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37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</row>
    <row r="339" spans="1:68" ht="14.25" hidden="1" customHeight="1" outlineLevel="1">
      <c r="A339" s="233"/>
      <c r="B339" s="237"/>
      <c r="C339" s="237"/>
      <c r="D339" s="237"/>
      <c r="E339" s="242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34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1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37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</row>
    <row r="340" spans="1:68" ht="14.25" hidden="1" customHeight="1" outlineLevel="1">
      <c r="A340" s="233"/>
      <c r="B340" s="237"/>
      <c r="C340" s="237"/>
      <c r="D340" s="237"/>
      <c r="E340" s="242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34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1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37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</row>
    <row r="341" spans="1:68" ht="14.25" hidden="1" customHeight="1" outlineLevel="1">
      <c r="A341" s="233"/>
      <c r="B341" s="237"/>
      <c r="C341" s="237"/>
      <c r="D341" s="237"/>
      <c r="E341" s="242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34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1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37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</row>
    <row r="342" spans="1:68" ht="14.25" hidden="1" customHeight="1" outlineLevel="1">
      <c r="A342" s="233"/>
      <c r="B342" s="237"/>
      <c r="C342" s="237"/>
      <c r="D342" s="237"/>
      <c r="E342" s="242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34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1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37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</row>
    <row r="343" spans="1:68" ht="14.25" hidden="1" customHeight="1" outlineLevel="1">
      <c r="A343" s="233"/>
      <c r="B343" s="237"/>
      <c r="C343" s="237"/>
      <c r="D343" s="237"/>
      <c r="E343" s="242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34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1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37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</row>
    <row r="344" spans="1:68" ht="14.25" hidden="1" customHeight="1" outlineLevel="1">
      <c r="A344" s="233"/>
      <c r="B344" s="237"/>
      <c r="C344" s="237"/>
      <c r="D344" s="237"/>
      <c r="E344" s="242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34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1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37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</row>
    <row r="345" spans="1:68" ht="14.25" hidden="1" customHeight="1" outlineLevel="1">
      <c r="A345" s="233"/>
      <c r="B345" s="237"/>
      <c r="C345" s="237"/>
      <c r="D345" s="237"/>
      <c r="E345" s="242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34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1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37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</row>
    <row r="346" spans="1:68" ht="14.25" hidden="1" customHeight="1" outlineLevel="1">
      <c r="A346" s="233"/>
      <c r="B346" s="237"/>
      <c r="C346" s="237"/>
      <c r="D346" s="237"/>
      <c r="E346" s="242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34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1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37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</row>
    <row r="347" spans="1:68" ht="14.25" hidden="1" customHeight="1" outlineLevel="1">
      <c r="A347" s="233"/>
      <c r="B347" s="237"/>
      <c r="C347" s="237"/>
      <c r="D347" s="237"/>
      <c r="E347" s="242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34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1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37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</row>
    <row r="348" spans="1:68" ht="14.25" hidden="1" customHeight="1" outlineLevel="1">
      <c r="A348" s="233"/>
      <c r="B348" s="237"/>
      <c r="C348" s="237"/>
      <c r="D348" s="237"/>
      <c r="E348" s="242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34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1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37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</row>
    <row r="349" spans="1:68" ht="14.25" hidden="1" customHeight="1" outlineLevel="1">
      <c r="A349" s="233"/>
      <c r="B349" s="237"/>
      <c r="C349" s="237"/>
      <c r="D349" s="237"/>
      <c r="E349" s="242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34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1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37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</row>
    <row r="350" spans="1:68" ht="14.25" hidden="1" customHeight="1" outlineLevel="1">
      <c r="A350" s="233"/>
      <c r="B350" s="237"/>
      <c r="C350" s="237"/>
      <c r="D350" s="237"/>
      <c r="E350" s="242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34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1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37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</row>
    <row r="351" spans="1:68" ht="14.25" hidden="1" customHeight="1" outlineLevel="1">
      <c r="A351" s="233"/>
      <c r="B351" s="237"/>
      <c r="C351" s="237"/>
      <c r="D351" s="237"/>
      <c r="E351" s="242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34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1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37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</row>
    <row r="352" spans="1:68" ht="14.25" hidden="1" customHeight="1" outlineLevel="1">
      <c r="A352" s="233"/>
      <c r="B352" s="237"/>
      <c r="C352" s="237"/>
      <c r="D352" s="237"/>
      <c r="E352" s="242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34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1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37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</row>
    <row r="353" spans="1:68" ht="14.25" hidden="1" customHeight="1" outlineLevel="1">
      <c r="A353" s="233"/>
      <c r="B353" s="237"/>
      <c r="C353" s="237"/>
      <c r="D353" s="237"/>
      <c r="E353" s="242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34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1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37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</row>
    <row r="354" spans="1:68" ht="14.25" hidden="1" customHeight="1" outlineLevel="1">
      <c r="A354" s="233"/>
      <c r="B354" s="237"/>
      <c r="C354" s="237"/>
      <c r="D354" s="237"/>
      <c r="E354" s="242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34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1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37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</row>
    <row r="355" spans="1:68" ht="14.25" hidden="1" customHeight="1" outlineLevel="1">
      <c r="A355" s="233"/>
      <c r="B355" s="237"/>
      <c r="C355" s="237"/>
      <c r="D355" s="237"/>
      <c r="E355" s="242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34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1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37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</row>
    <row r="356" spans="1:68" ht="14.25" hidden="1" customHeight="1" outlineLevel="1">
      <c r="A356" s="233"/>
      <c r="B356" s="237"/>
      <c r="C356" s="237"/>
      <c r="D356" s="237"/>
      <c r="E356" s="242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34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1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37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</row>
    <row r="357" spans="1:68" ht="14.25" hidden="1" customHeight="1" outlineLevel="1">
      <c r="A357" s="233"/>
      <c r="B357" s="237"/>
      <c r="C357" s="237"/>
      <c r="D357" s="237"/>
      <c r="E357" s="242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34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1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37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</row>
    <row r="358" spans="1:68" ht="14.25" hidden="1" customHeight="1" outlineLevel="1">
      <c r="A358" s="233"/>
      <c r="B358" s="237"/>
      <c r="C358" s="237"/>
      <c r="D358" s="237"/>
      <c r="E358" s="242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34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1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37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</row>
    <row r="359" spans="1:68" ht="14.25" hidden="1" customHeight="1" outlineLevel="1">
      <c r="A359" s="233"/>
      <c r="B359" s="237"/>
      <c r="C359" s="237"/>
      <c r="D359" s="237"/>
      <c r="E359" s="242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34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1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37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</row>
    <row r="360" spans="1:68" ht="14.25" hidden="1" customHeight="1" outlineLevel="1">
      <c r="A360" s="233"/>
      <c r="B360" s="237"/>
      <c r="C360" s="237"/>
      <c r="D360" s="237"/>
      <c r="E360" s="242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34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1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37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</row>
    <row r="361" spans="1:68" ht="14.25" hidden="1" customHeight="1" outlineLevel="1">
      <c r="A361" s="233"/>
      <c r="B361" s="237"/>
      <c r="C361" s="237"/>
      <c r="D361" s="237"/>
      <c r="E361" s="242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34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1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37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</row>
    <row r="362" spans="1:68" ht="14.25" hidden="1" customHeight="1" outlineLevel="1">
      <c r="A362" s="233"/>
      <c r="B362" s="237"/>
      <c r="C362" s="237"/>
      <c r="D362" s="237"/>
      <c r="E362" s="242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34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1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37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</row>
    <row r="363" spans="1:68" ht="14.25" hidden="1" customHeight="1" outlineLevel="1">
      <c r="A363" s="233"/>
      <c r="B363" s="237"/>
      <c r="C363" s="237"/>
      <c r="D363" s="237"/>
      <c r="E363" s="242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34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1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37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</row>
    <row r="364" spans="1:68" ht="14.25" hidden="1" customHeight="1" outlineLevel="1">
      <c r="A364" s="233"/>
      <c r="B364" s="237"/>
      <c r="C364" s="237"/>
      <c r="D364" s="237"/>
      <c r="E364" s="242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34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1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37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</row>
    <row r="365" spans="1:68" ht="14.25" hidden="1" customHeight="1" outlineLevel="1">
      <c r="A365" s="233"/>
      <c r="B365" s="237"/>
      <c r="C365" s="237"/>
      <c r="D365" s="237"/>
      <c r="E365" s="242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34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1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37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</row>
    <row r="366" spans="1:68" ht="14.25" hidden="1" customHeight="1" outlineLevel="1">
      <c r="A366" s="233"/>
      <c r="B366" s="237"/>
      <c r="C366" s="237"/>
      <c r="D366" s="237"/>
      <c r="E366" s="242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34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1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37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</row>
    <row r="367" spans="1:68" ht="14.25" hidden="1" customHeight="1" outlineLevel="1">
      <c r="A367" s="233"/>
      <c r="B367" s="237"/>
      <c r="C367" s="237"/>
      <c r="D367" s="237"/>
      <c r="E367" s="242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34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1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37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</row>
    <row r="368" spans="1:68" ht="14.25" hidden="1" customHeight="1" outlineLevel="1">
      <c r="A368" s="233"/>
      <c r="B368" s="237"/>
      <c r="C368" s="237"/>
      <c r="D368" s="237"/>
      <c r="E368" s="242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34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1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37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</row>
    <row r="369" spans="1:68" ht="14.25" hidden="1" customHeight="1" outlineLevel="1">
      <c r="A369" s="233"/>
      <c r="B369" s="237"/>
      <c r="C369" s="237"/>
      <c r="D369" s="237"/>
      <c r="E369" s="242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34"/>
      <c r="T369" s="242"/>
      <c r="U369" s="242"/>
      <c r="V369" s="242"/>
      <c r="W369" s="242"/>
      <c r="X369" s="242"/>
      <c r="Y369" s="242"/>
      <c r="Z369" s="242"/>
      <c r="AA369" s="242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2"/>
      <c r="AN369" s="241"/>
      <c r="AO369" s="242"/>
      <c r="AP369" s="242"/>
      <c r="AQ369" s="242"/>
      <c r="AR369" s="242"/>
      <c r="AS369" s="242"/>
      <c r="AT369" s="242"/>
      <c r="AU369" s="242"/>
      <c r="AV369" s="242"/>
      <c r="AW369" s="242"/>
      <c r="AX369" s="242"/>
      <c r="AY369" s="242"/>
      <c r="AZ369" s="242"/>
      <c r="BA369" s="242"/>
      <c r="BB369" s="237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</row>
    <row r="370" spans="1:68" ht="14.25" hidden="1" customHeight="1" outlineLevel="1">
      <c r="A370" s="233"/>
      <c r="B370" s="237"/>
      <c r="C370" s="237"/>
      <c r="D370" s="237"/>
      <c r="E370" s="242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34"/>
      <c r="T370" s="242"/>
      <c r="U370" s="242"/>
      <c r="V370" s="242"/>
      <c r="W370" s="242"/>
      <c r="X370" s="242"/>
      <c r="Y370" s="242"/>
      <c r="Z370" s="242"/>
      <c r="AA370" s="242"/>
      <c r="AB370" s="242"/>
      <c r="AC370" s="242"/>
      <c r="AD370" s="242"/>
      <c r="AE370" s="242"/>
      <c r="AF370" s="242"/>
      <c r="AG370" s="242"/>
      <c r="AH370" s="242"/>
      <c r="AI370" s="242"/>
      <c r="AJ370" s="242"/>
      <c r="AK370" s="242"/>
      <c r="AL370" s="242"/>
      <c r="AM370" s="242"/>
      <c r="AN370" s="241"/>
      <c r="AO370" s="242"/>
      <c r="AP370" s="242"/>
      <c r="AQ370" s="242"/>
      <c r="AR370" s="242"/>
      <c r="AS370" s="242"/>
      <c r="AT370" s="242"/>
      <c r="AU370" s="242"/>
      <c r="AV370" s="242"/>
      <c r="AW370" s="242"/>
      <c r="AX370" s="242"/>
      <c r="AY370" s="242"/>
      <c r="AZ370" s="242"/>
      <c r="BA370" s="242"/>
      <c r="BB370" s="237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</row>
    <row r="371" spans="1:68" ht="14.25" hidden="1" customHeight="1" outlineLevel="1">
      <c r="A371" s="233"/>
      <c r="B371" s="237"/>
      <c r="C371" s="237"/>
      <c r="D371" s="237"/>
      <c r="E371" s="242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34"/>
      <c r="T371" s="242"/>
      <c r="U371" s="242"/>
      <c r="V371" s="242"/>
      <c r="W371" s="242"/>
      <c r="X371" s="242"/>
      <c r="Y371" s="242"/>
      <c r="Z371" s="242"/>
      <c r="AA371" s="242"/>
      <c r="AB371" s="242"/>
      <c r="AC371" s="242"/>
      <c r="AD371" s="242"/>
      <c r="AE371" s="242"/>
      <c r="AF371" s="242"/>
      <c r="AG371" s="242"/>
      <c r="AH371" s="242"/>
      <c r="AI371" s="242"/>
      <c r="AJ371" s="242"/>
      <c r="AK371" s="242"/>
      <c r="AL371" s="242"/>
      <c r="AM371" s="242"/>
      <c r="AN371" s="241"/>
      <c r="AO371" s="242"/>
      <c r="AP371" s="242"/>
      <c r="AQ371" s="242"/>
      <c r="AR371" s="242"/>
      <c r="AS371" s="242"/>
      <c r="AT371" s="242"/>
      <c r="AU371" s="242"/>
      <c r="AV371" s="242"/>
      <c r="AW371" s="242"/>
      <c r="AX371" s="242"/>
      <c r="AY371" s="242"/>
      <c r="AZ371" s="242"/>
      <c r="BA371" s="242"/>
      <c r="BB371" s="237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</row>
    <row r="372" spans="1:68" ht="14.25" hidden="1" customHeight="1" outlineLevel="1">
      <c r="A372" s="233"/>
      <c r="B372" s="237"/>
      <c r="C372" s="237"/>
      <c r="D372" s="237"/>
      <c r="E372" s="242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34"/>
      <c r="T372" s="242"/>
      <c r="U372" s="242"/>
      <c r="V372" s="242"/>
      <c r="W372" s="242"/>
      <c r="X372" s="242"/>
      <c r="Y372" s="242"/>
      <c r="Z372" s="242"/>
      <c r="AA372" s="242"/>
      <c r="AB372" s="242"/>
      <c r="AC372" s="242"/>
      <c r="AD372" s="242"/>
      <c r="AE372" s="242"/>
      <c r="AF372" s="242"/>
      <c r="AG372" s="242"/>
      <c r="AH372" s="242"/>
      <c r="AI372" s="242"/>
      <c r="AJ372" s="242"/>
      <c r="AK372" s="242"/>
      <c r="AL372" s="242"/>
      <c r="AM372" s="242"/>
      <c r="AN372" s="241"/>
      <c r="AO372" s="242"/>
      <c r="AP372" s="242"/>
      <c r="AQ372" s="242"/>
      <c r="AR372" s="242"/>
      <c r="AS372" s="242"/>
      <c r="AT372" s="242"/>
      <c r="AU372" s="242"/>
      <c r="AV372" s="242"/>
      <c r="AW372" s="242"/>
      <c r="AX372" s="242"/>
      <c r="AY372" s="242"/>
      <c r="AZ372" s="242"/>
      <c r="BA372" s="242"/>
      <c r="BB372" s="237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</row>
    <row r="373" spans="1:68" ht="14.25" hidden="1" customHeight="1" outlineLevel="1">
      <c r="A373" s="233"/>
      <c r="B373" s="237"/>
      <c r="C373" s="237"/>
      <c r="D373" s="237"/>
      <c r="E373" s="242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34"/>
      <c r="T373" s="242"/>
      <c r="U373" s="242"/>
      <c r="V373" s="242"/>
      <c r="W373" s="242"/>
      <c r="X373" s="242"/>
      <c r="Y373" s="242"/>
      <c r="Z373" s="242"/>
      <c r="AA373" s="242"/>
      <c r="AB373" s="242"/>
      <c r="AC373" s="242"/>
      <c r="AD373" s="242"/>
      <c r="AE373" s="242"/>
      <c r="AF373" s="242"/>
      <c r="AG373" s="242"/>
      <c r="AH373" s="242"/>
      <c r="AI373" s="242"/>
      <c r="AJ373" s="242"/>
      <c r="AK373" s="242"/>
      <c r="AL373" s="242"/>
      <c r="AM373" s="242"/>
      <c r="AN373" s="241"/>
      <c r="AO373" s="242"/>
      <c r="AP373" s="242"/>
      <c r="AQ373" s="242"/>
      <c r="AR373" s="242"/>
      <c r="AS373" s="242"/>
      <c r="AT373" s="242"/>
      <c r="AU373" s="242"/>
      <c r="AV373" s="242"/>
      <c r="AW373" s="242"/>
      <c r="AX373" s="242"/>
      <c r="AY373" s="242"/>
      <c r="AZ373" s="242"/>
      <c r="BA373" s="242"/>
      <c r="BB373" s="237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</row>
    <row r="374" spans="1:68" ht="14.25" hidden="1" customHeight="1" outlineLevel="1">
      <c r="A374" s="233"/>
      <c r="B374" s="237"/>
      <c r="C374" s="237"/>
      <c r="D374" s="237"/>
      <c r="E374" s="242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34"/>
      <c r="T374" s="242"/>
      <c r="U374" s="242"/>
      <c r="V374" s="242"/>
      <c r="W374" s="242"/>
      <c r="X374" s="242"/>
      <c r="Y374" s="242"/>
      <c r="Z374" s="242"/>
      <c r="AA374" s="242"/>
      <c r="AB374" s="242"/>
      <c r="AC374" s="242"/>
      <c r="AD374" s="242"/>
      <c r="AE374" s="242"/>
      <c r="AF374" s="242"/>
      <c r="AG374" s="242"/>
      <c r="AH374" s="242"/>
      <c r="AI374" s="242"/>
      <c r="AJ374" s="242"/>
      <c r="AK374" s="242"/>
      <c r="AL374" s="242"/>
      <c r="AM374" s="242"/>
      <c r="AN374" s="241"/>
      <c r="AO374" s="242"/>
      <c r="AP374" s="242"/>
      <c r="AQ374" s="242"/>
      <c r="AR374" s="242"/>
      <c r="AS374" s="242"/>
      <c r="AT374" s="242"/>
      <c r="AU374" s="242"/>
      <c r="AV374" s="242"/>
      <c r="AW374" s="242"/>
      <c r="AX374" s="242"/>
      <c r="AY374" s="242"/>
      <c r="AZ374" s="242"/>
      <c r="BA374" s="242"/>
      <c r="BB374" s="237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</row>
    <row r="375" spans="1:68" ht="14.25" hidden="1" customHeight="1" outlineLevel="1">
      <c r="A375" s="233"/>
      <c r="B375" s="237"/>
      <c r="C375" s="237"/>
      <c r="D375" s="237"/>
      <c r="E375" s="242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34"/>
      <c r="T375" s="242"/>
      <c r="U375" s="242"/>
      <c r="V375" s="242"/>
      <c r="W375" s="242"/>
      <c r="X375" s="242"/>
      <c r="Y375" s="242"/>
      <c r="Z375" s="242"/>
      <c r="AA375" s="242"/>
      <c r="AB375" s="242"/>
      <c r="AC375" s="242"/>
      <c r="AD375" s="242"/>
      <c r="AE375" s="242"/>
      <c r="AF375" s="242"/>
      <c r="AG375" s="242"/>
      <c r="AH375" s="242"/>
      <c r="AI375" s="242"/>
      <c r="AJ375" s="242"/>
      <c r="AK375" s="242"/>
      <c r="AL375" s="242"/>
      <c r="AM375" s="242"/>
      <c r="AN375" s="241"/>
      <c r="AO375" s="242"/>
      <c r="AP375" s="242"/>
      <c r="AQ375" s="242"/>
      <c r="AR375" s="242"/>
      <c r="AS375" s="242"/>
      <c r="AT375" s="242"/>
      <c r="AU375" s="242"/>
      <c r="AV375" s="242"/>
      <c r="AW375" s="242"/>
      <c r="AX375" s="242"/>
      <c r="AY375" s="242"/>
      <c r="AZ375" s="242"/>
      <c r="BA375" s="242"/>
      <c r="BB375" s="237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</row>
    <row r="376" spans="1:68" ht="14.25" hidden="1" customHeight="1" outlineLevel="1">
      <c r="A376" s="233"/>
      <c r="B376" s="237"/>
      <c r="C376" s="237"/>
      <c r="D376" s="237"/>
      <c r="E376" s="242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34"/>
      <c r="T376" s="242"/>
      <c r="U376" s="242"/>
      <c r="V376" s="242"/>
      <c r="W376" s="242"/>
      <c r="X376" s="242"/>
      <c r="Y376" s="242"/>
      <c r="Z376" s="242"/>
      <c r="AA376" s="242"/>
      <c r="AB376" s="242"/>
      <c r="AC376" s="242"/>
      <c r="AD376" s="242"/>
      <c r="AE376" s="242"/>
      <c r="AF376" s="242"/>
      <c r="AG376" s="242"/>
      <c r="AH376" s="242"/>
      <c r="AI376" s="242"/>
      <c r="AJ376" s="242"/>
      <c r="AK376" s="242"/>
      <c r="AL376" s="242"/>
      <c r="AM376" s="242"/>
      <c r="AN376" s="241"/>
      <c r="AO376" s="242"/>
      <c r="AP376" s="242"/>
      <c r="AQ376" s="242"/>
      <c r="AR376" s="242"/>
      <c r="AS376" s="242"/>
      <c r="AT376" s="242"/>
      <c r="AU376" s="242"/>
      <c r="AV376" s="242"/>
      <c r="AW376" s="242"/>
      <c r="AX376" s="242"/>
      <c r="AY376" s="242"/>
      <c r="AZ376" s="242"/>
      <c r="BA376" s="242"/>
      <c r="BB376" s="237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</row>
    <row r="377" spans="1:68" ht="14.25" hidden="1" customHeight="1" outlineLevel="1">
      <c r="A377" s="233"/>
      <c r="B377" s="237"/>
      <c r="C377" s="237"/>
      <c r="D377" s="237"/>
      <c r="E377" s="242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34"/>
      <c r="T377" s="242"/>
      <c r="U377" s="242"/>
      <c r="V377" s="242"/>
      <c r="W377" s="242"/>
      <c r="X377" s="242"/>
      <c r="Y377" s="242"/>
      <c r="Z377" s="242"/>
      <c r="AA377" s="242"/>
      <c r="AB377" s="242"/>
      <c r="AC377" s="242"/>
      <c r="AD377" s="242"/>
      <c r="AE377" s="242"/>
      <c r="AF377" s="242"/>
      <c r="AG377" s="242"/>
      <c r="AH377" s="242"/>
      <c r="AI377" s="242"/>
      <c r="AJ377" s="242"/>
      <c r="AK377" s="242"/>
      <c r="AL377" s="242"/>
      <c r="AM377" s="242"/>
      <c r="AN377" s="241"/>
      <c r="AO377" s="242"/>
      <c r="AP377" s="242"/>
      <c r="AQ377" s="242"/>
      <c r="AR377" s="242"/>
      <c r="AS377" s="242"/>
      <c r="AT377" s="242"/>
      <c r="AU377" s="242"/>
      <c r="AV377" s="242"/>
      <c r="AW377" s="242"/>
      <c r="AX377" s="242"/>
      <c r="AY377" s="242"/>
      <c r="AZ377" s="242"/>
      <c r="BA377" s="242"/>
      <c r="BB377" s="237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</row>
    <row r="378" spans="1:68" ht="14.25" hidden="1" customHeight="1" outlineLevel="1">
      <c r="A378" s="233"/>
      <c r="B378" s="237"/>
      <c r="C378" s="237"/>
      <c r="D378" s="237"/>
      <c r="E378" s="242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34"/>
      <c r="T378" s="242"/>
      <c r="U378" s="242"/>
      <c r="V378" s="242"/>
      <c r="W378" s="242"/>
      <c r="X378" s="242"/>
      <c r="Y378" s="242"/>
      <c r="Z378" s="242"/>
      <c r="AA378" s="242"/>
      <c r="AB378" s="242"/>
      <c r="AC378" s="242"/>
      <c r="AD378" s="242"/>
      <c r="AE378" s="242"/>
      <c r="AF378" s="242"/>
      <c r="AG378" s="242"/>
      <c r="AH378" s="242"/>
      <c r="AI378" s="242"/>
      <c r="AJ378" s="242"/>
      <c r="AK378" s="242"/>
      <c r="AL378" s="242"/>
      <c r="AM378" s="242"/>
      <c r="AN378" s="241"/>
      <c r="AO378" s="242"/>
      <c r="AP378" s="242"/>
      <c r="AQ378" s="242"/>
      <c r="AR378" s="242"/>
      <c r="AS378" s="242"/>
      <c r="AT378" s="242"/>
      <c r="AU378" s="242"/>
      <c r="AV378" s="242"/>
      <c r="AW378" s="242"/>
      <c r="AX378" s="242"/>
      <c r="AY378" s="242"/>
      <c r="AZ378" s="242"/>
      <c r="BA378" s="242"/>
      <c r="BB378" s="237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</row>
    <row r="379" spans="1:68" ht="14.25" hidden="1" customHeight="1" outlineLevel="1">
      <c r="A379" s="233"/>
      <c r="B379" s="237"/>
      <c r="C379" s="237"/>
      <c r="D379" s="237"/>
      <c r="E379" s="242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34"/>
      <c r="T379" s="242"/>
      <c r="U379" s="242"/>
      <c r="V379" s="242"/>
      <c r="W379" s="242"/>
      <c r="X379" s="242"/>
      <c r="Y379" s="242"/>
      <c r="Z379" s="242"/>
      <c r="AA379" s="242"/>
      <c r="AB379" s="242"/>
      <c r="AC379" s="242"/>
      <c r="AD379" s="242"/>
      <c r="AE379" s="242"/>
      <c r="AF379" s="242"/>
      <c r="AG379" s="242"/>
      <c r="AH379" s="242"/>
      <c r="AI379" s="242"/>
      <c r="AJ379" s="242"/>
      <c r="AK379" s="242"/>
      <c r="AL379" s="242"/>
      <c r="AM379" s="242"/>
      <c r="AN379" s="241"/>
      <c r="AO379" s="242"/>
      <c r="AP379" s="242"/>
      <c r="AQ379" s="242"/>
      <c r="AR379" s="242"/>
      <c r="AS379" s="242"/>
      <c r="AT379" s="242"/>
      <c r="AU379" s="242"/>
      <c r="AV379" s="242"/>
      <c r="AW379" s="242"/>
      <c r="AX379" s="242"/>
      <c r="AY379" s="242"/>
      <c r="AZ379" s="242"/>
      <c r="BA379" s="242"/>
      <c r="BB379" s="237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</row>
    <row r="380" spans="1:68" ht="14.25" hidden="1" customHeight="1" outlineLevel="1">
      <c r="A380" s="233"/>
      <c r="B380" s="237"/>
      <c r="C380" s="237"/>
      <c r="D380" s="237"/>
      <c r="E380" s="242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34"/>
      <c r="T380" s="242"/>
      <c r="U380" s="242"/>
      <c r="V380" s="242"/>
      <c r="W380" s="242"/>
      <c r="X380" s="242"/>
      <c r="Y380" s="242"/>
      <c r="Z380" s="242"/>
      <c r="AA380" s="242"/>
      <c r="AB380" s="242"/>
      <c r="AC380" s="242"/>
      <c r="AD380" s="242"/>
      <c r="AE380" s="242"/>
      <c r="AF380" s="242"/>
      <c r="AG380" s="242"/>
      <c r="AH380" s="242"/>
      <c r="AI380" s="242"/>
      <c r="AJ380" s="242"/>
      <c r="AK380" s="242"/>
      <c r="AL380" s="242"/>
      <c r="AM380" s="242"/>
      <c r="AN380" s="241"/>
      <c r="AO380" s="242"/>
      <c r="AP380" s="242"/>
      <c r="AQ380" s="242"/>
      <c r="AR380" s="242"/>
      <c r="AS380" s="242"/>
      <c r="AT380" s="242"/>
      <c r="AU380" s="242"/>
      <c r="AV380" s="242"/>
      <c r="AW380" s="242"/>
      <c r="AX380" s="242"/>
      <c r="AY380" s="242"/>
      <c r="AZ380" s="242"/>
      <c r="BA380" s="242"/>
      <c r="BB380" s="237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</row>
    <row r="381" spans="1:68" ht="14.25" hidden="1" customHeight="1" outlineLevel="1">
      <c r="A381" s="233"/>
      <c r="B381" s="237"/>
      <c r="C381" s="237"/>
      <c r="D381" s="237"/>
      <c r="E381" s="242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34"/>
      <c r="T381" s="242"/>
      <c r="U381" s="242"/>
      <c r="V381" s="242"/>
      <c r="W381" s="242"/>
      <c r="X381" s="242"/>
      <c r="Y381" s="242"/>
      <c r="Z381" s="242"/>
      <c r="AA381" s="242"/>
      <c r="AB381" s="242"/>
      <c r="AC381" s="242"/>
      <c r="AD381" s="242"/>
      <c r="AE381" s="242"/>
      <c r="AF381" s="242"/>
      <c r="AG381" s="242"/>
      <c r="AH381" s="242"/>
      <c r="AI381" s="242"/>
      <c r="AJ381" s="242"/>
      <c r="AK381" s="242"/>
      <c r="AL381" s="242"/>
      <c r="AM381" s="242"/>
      <c r="AN381" s="241"/>
      <c r="AO381" s="242"/>
      <c r="AP381" s="242"/>
      <c r="AQ381" s="242"/>
      <c r="AR381" s="242"/>
      <c r="AS381" s="242"/>
      <c r="AT381" s="242"/>
      <c r="AU381" s="242"/>
      <c r="AV381" s="242"/>
      <c r="AW381" s="242"/>
      <c r="AX381" s="242"/>
      <c r="AY381" s="242"/>
      <c r="AZ381" s="242"/>
      <c r="BA381" s="242"/>
      <c r="BB381" s="237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</row>
    <row r="382" spans="1:68" ht="14.25" hidden="1" customHeight="1" outlineLevel="1">
      <c r="A382" s="233"/>
      <c r="B382" s="237"/>
      <c r="C382" s="237"/>
      <c r="D382" s="237"/>
      <c r="E382" s="242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34"/>
      <c r="T382" s="242"/>
      <c r="U382" s="242"/>
      <c r="V382" s="242"/>
      <c r="W382" s="242"/>
      <c r="X382" s="242"/>
      <c r="Y382" s="242"/>
      <c r="Z382" s="242"/>
      <c r="AA382" s="242"/>
      <c r="AB382" s="242"/>
      <c r="AC382" s="242"/>
      <c r="AD382" s="242"/>
      <c r="AE382" s="242"/>
      <c r="AF382" s="242"/>
      <c r="AG382" s="242"/>
      <c r="AH382" s="242"/>
      <c r="AI382" s="242"/>
      <c r="AJ382" s="242"/>
      <c r="AK382" s="242"/>
      <c r="AL382" s="242"/>
      <c r="AM382" s="242"/>
      <c r="AN382" s="241"/>
      <c r="AO382" s="242"/>
      <c r="AP382" s="242"/>
      <c r="AQ382" s="242"/>
      <c r="AR382" s="242"/>
      <c r="AS382" s="242"/>
      <c r="AT382" s="242"/>
      <c r="AU382" s="242"/>
      <c r="AV382" s="242"/>
      <c r="AW382" s="242"/>
      <c r="AX382" s="242"/>
      <c r="AY382" s="242"/>
      <c r="AZ382" s="242"/>
      <c r="BA382" s="242"/>
      <c r="BB382" s="237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</row>
    <row r="383" spans="1:68" ht="14.25" hidden="1" customHeight="1" outlineLevel="1">
      <c r="A383" s="233"/>
      <c r="B383" s="237"/>
      <c r="C383" s="237"/>
      <c r="D383" s="237"/>
      <c r="E383" s="242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34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42"/>
      <c r="AI383" s="242"/>
      <c r="AJ383" s="242"/>
      <c r="AK383" s="242"/>
      <c r="AL383" s="242"/>
      <c r="AM383" s="242"/>
      <c r="AN383" s="241"/>
      <c r="AO383" s="242"/>
      <c r="AP383" s="242"/>
      <c r="AQ383" s="242"/>
      <c r="AR383" s="242"/>
      <c r="AS383" s="242"/>
      <c r="AT383" s="242"/>
      <c r="AU383" s="242"/>
      <c r="AV383" s="242"/>
      <c r="AW383" s="242"/>
      <c r="AX383" s="242"/>
      <c r="AY383" s="242"/>
      <c r="AZ383" s="242"/>
      <c r="BA383" s="242"/>
      <c r="BB383" s="237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</row>
    <row r="384" spans="1:68" ht="14.25" hidden="1" customHeight="1" outlineLevel="1">
      <c r="A384" s="233"/>
      <c r="B384" s="237"/>
      <c r="C384" s="237"/>
      <c r="D384" s="237"/>
      <c r="E384" s="242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34"/>
      <c r="T384" s="242"/>
      <c r="U384" s="242"/>
      <c r="V384" s="242"/>
      <c r="W384" s="242"/>
      <c r="X384" s="242"/>
      <c r="Y384" s="242"/>
      <c r="Z384" s="242"/>
      <c r="AA384" s="242"/>
      <c r="AB384" s="242"/>
      <c r="AC384" s="242"/>
      <c r="AD384" s="242"/>
      <c r="AE384" s="242"/>
      <c r="AF384" s="242"/>
      <c r="AG384" s="242"/>
      <c r="AH384" s="242"/>
      <c r="AI384" s="242"/>
      <c r="AJ384" s="242"/>
      <c r="AK384" s="242"/>
      <c r="AL384" s="242"/>
      <c r="AM384" s="242"/>
      <c r="AN384" s="241"/>
      <c r="AO384" s="242"/>
      <c r="AP384" s="242"/>
      <c r="AQ384" s="242"/>
      <c r="AR384" s="242"/>
      <c r="AS384" s="242"/>
      <c r="AT384" s="242"/>
      <c r="AU384" s="242"/>
      <c r="AV384" s="242"/>
      <c r="AW384" s="242"/>
      <c r="AX384" s="242"/>
      <c r="AY384" s="242"/>
      <c r="AZ384" s="242"/>
      <c r="BA384" s="242"/>
      <c r="BB384" s="237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</row>
    <row r="385" spans="1:68" ht="14.25" hidden="1" customHeight="1" outlineLevel="1">
      <c r="A385" s="233"/>
      <c r="B385" s="237"/>
      <c r="C385" s="237"/>
      <c r="D385" s="237"/>
      <c r="E385" s="242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34"/>
      <c r="T385" s="242"/>
      <c r="U385" s="242"/>
      <c r="V385" s="242"/>
      <c r="W385" s="242"/>
      <c r="X385" s="242"/>
      <c r="Y385" s="242"/>
      <c r="Z385" s="242"/>
      <c r="AA385" s="242"/>
      <c r="AB385" s="242"/>
      <c r="AC385" s="242"/>
      <c r="AD385" s="242"/>
      <c r="AE385" s="242"/>
      <c r="AF385" s="242"/>
      <c r="AG385" s="242"/>
      <c r="AH385" s="242"/>
      <c r="AI385" s="242"/>
      <c r="AJ385" s="242"/>
      <c r="AK385" s="242"/>
      <c r="AL385" s="242"/>
      <c r="AM385" s="242"/>
      <c r="AN385" s="241"/>
      <c r="AO385" s="242"/>
      <c r="AP385" s="242"/>
      <c r="AQ385" s="242"/>
      <c r="AR385" s="242"/>
      <c r="AS385" s="242"/>
      <c r="AT385" s="242"/>
      <c r="AU385" s="242"/>
      <c r="AV385" s="242"/>
      <c r="AW385" s="242"/>
      <c r="AX385" s="242"/>
      <c r="AY385" s="242"/>
      <c r="AZ385" s="242"/>
      <c r="BA385" s="242"/>
      <c r="BB385" s="237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</row>
    <row r="386" spans="1:68" ht="14.25" hidden="1" customHeight="1" outlineLevel="1">
      <c r="A386" s="233"/>
      <c r="B386" s="237"/>
      <c r="C386" s="237"/>
      <c r="D386" s="237"/>
      <c r="E386" s="242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34"/>
      <c r="T386" s="242"/>
      <c r="U386" s="242"/>
      <c r="V386" s="242"/>
      <c r="W386" s="242"/>
      <c r="X386" s="242"/>
      <c r="Y386" s="242"/>
      <c r="Z386" s="242"/>
      <c r="AA386" s="242"/>
      <c r="AB386" s="242"/>
      <c r="AC386" s="242"/>
      <c r="AD386" s="242"/>
      <c r="AE386" s="242"/>
      <c r="AF386" s="242"/>
      <c r="AG386" s="242"/>
      <c r="AH386" s="242"/>
      <c r="AI386" s="242"/>
      <c r="AJ386" s="242"/>
      <c r="AK386" s="242"/>
      <c r="AL386" s="242"/>
      <c r="AM386" s="242"/>
      <c r="AN386" s="241"/>
      <c r="AO386" s="242"/>
      <c r="AP386" s="242"/>
      <c r="AQ386" s="242"/>
      <c r="AR386" s="242"/>
      <c r="AS386" s="242"/>
      <c r="AT386" s="242"/>
      <c r="AU386" s="242"/>
      <c r="AV386" s="242"/>
      <c r="AW386" s="242"/>
      <c r="AX386" s="242"/>
      <c r="AY386" s="242"/>
      <c r="AZ386" s="242"/>
      <c r="BA386" s="242"/>
      <c r="BB386" s="237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  <c r="BM386" s="242"/>
      <c r="BN386" s="242"/>
      <c r="BO386" s="242"/>
      <c r="BP386" s="242"/>
    </row>
    <row r="387" spans="1:68" ht="14.25" hidden="1" customHeight="1" outlineLevel="1">
      <c r="A387" s="233"/>
      <c r="B387" s="237"/>
      <c r="C387" s="237"/>
      <c r="D387" s="237"/>
      <c r="E387" s="242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34"/>
      <c r="T387" s="242"/>
      <c r="U387" s="242"/>
      <c r="V387" s="242"/>
      <c r="W387" s="242"/>
      <c r="X387" s="242"/>
      <c r="Y387" s="242"/>
      <c r="Z387" s="242"/>
      <c r="AA387" s="242"/>
      <c r="AB387" s="242"/>
      <c r="AC387" s="242"/>
      <c r="AD387" s="242"/>
      <c r="AE387" s="242"/>
      <c r="AF387" s="242"/>
      <c r="AG387" s="242"/>
      <c r="AH387" s="242"/>
      <c r="AI387" s="242"/>
      <c r="AJ387" s="242"/>
      <c r="AK387" s="242"/>
      <c r="AL387" s="242"/>
      <c r="AM387" s="242"/>
      <c r="AN387" s="241"/>
      <c r="AO387" s="242"/>
      <c r="AP387" s="242"/>
      <c r="AQ387" s="242"/>
      <c r="AR387" s="242"/>
      <c r="AS387" s="242"/>
      <c r="AT387" s="242"/>
      <c r="AU387" s="242"/>
      <c r="AV387" s="242"/>
      <c r="AW387" s="242"/>
      <c r="AX387" s="242"/>
      <c r="AY387" s="242"/>
      <c r="AZ387" s="242"/>
      <c r="BA387" s="242"/>
      <c r="BB387" s="237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</row>
    <row r="388" spans="1:68" ht="14.25" hidden="1" customHeight="1" outlineLevel="1">
      <c r="A388" s="233"/>
      <c r="B388" s="237"/>
      <c r="C388" s="237"/>
      <c r="D388" s="237"/>
      <c r="E388" s="242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34"/>
      <c r="T388" s="242"/>
      <c r="U388" s="242"/>
      <c r="V388" s="242"/>
      <c r="W388" s="242"/>
      <c r="X388" s="242"/>
      <c r="Y388" s="242"/>
      <c r="Z388" s="242"/>
      <c r="AA388" s="242"/>
      <c r="AB388" s="242"/>
      <c r="AC388" s="242"/>
      <c r="AD388" s="242"/>
      <c r="AE388" s="242"/>
      <c r="AF388" s="242"/>
      <c r="AG388" s="242"/>
      <c r="AH388" s="242"/>
      <c r="AI388" s="242"/>
      <c r="AJ388" s="242"/>
      <c r="AK388" s="242"/>
      <c r="AL388" s="242"/>
      <c r="AM388" s="242"/>
      <c r="AN388" s="241"/>
      <c r="AO388" s="242"/>
      <c r="AP388" s="242"/>
      <c r="AQ388" s="242"/>
      <c r="AR388" s="242"/>
      <c r="AS388" s="242"/>
      <c r="AT388" s="242"/>
      <c r="AU388" s="242"/>
      <c r="AV388" s="242"/>
      <c r="AW388" s="242"/>
      <c r="AX388" s="242"/>
      <c r="AY388" s="242"/>
      <c r="AZ388" s="242"/>
      <c r="BA388" s="242"/>
      <c r="BB388" s="237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</row>
    <row r="389" spans="1:68" ht="14.25" hidden="1" customHeight="1" outlineLevel="1">
      <c r="A389" s="233"/>
      <c r="B389" s="237"/>
      <c r="C389" s="237"/>
      <c r="D389" s="237"/>
      <c r="E389" s="242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34"/>
      <c r="T389" s="242"/>
      <c r="U389" s="242"/>
      <c r="V389" s="242"/>
      <c r="W389" s="242"/>
      <c r="X389" s="242"/>
      <c r="Y389" s="242"/>
      <c r="Z389" s="242"/>
      <c r="AA389" s="242"/>
      <c r="AB389" s="242"/>
      <c r="AC389" s="242"/>
      <c r="AD389" s="242"/>
      <c r="AE389" s="242"/>
      <c r="AF389" s="242"/>
      <c r="AG389" s="242"/>
      <c r="AH389" s="242"/>
      <c r="AI389" s="242"/>
      <c r="AJ389" s="242"/>
      <c r="AK389" s="242"/>
      <c r="AL389" s="242"/>
      <c r="AM389" s="242"/>
      <c r="AN389" s="241"/>
      <c r="AO389" s="242"/>
      <c r="AP389" s="242"/>
      <c r="AQ389" s="242"/>
      <c r="AR389" s="242"/>
      <c r="AS389" s="242"/>
      <c r="AT389" s="242"/>
      <c r="AU389" s="242"/>
      <c r="AV389" s="242"/>
      <c r="AW389" s="242"/>
      <c r="AX389" s="242"/>
      <c r="AY389" s="242"/>
      <c r="AZ389" s="242"/>
      <c r="BA389" s="242"/>
      <c r="BB389" s="237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</row>
    <row r="390" spans="1:68" ht="14.25" hidden="1" customHeight="1" outlineLevel="1">
      <c r="A390" s="233"/>
      <c r="B390" s="237"/>
      <c r="C390" s="237"/>
      <c r="D390" s="237"/>
      <c r="E390" s="242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34"/>
      <c r="T390" s="242"/>
      <c r="U390" s="242"/>
      <c r="V390" s="242"/>
      <c r="W390" s="242"/>
      <c r="X390" s="242"/>
      <c r="Y390" s="242"/>
      <c r="Z390" s="242"/>
      <c r="AA390" s="242"/>
      <c r="AB390" s="242"/>
      <c r="AC390" s="242"/>
      <c r="AD390" s="242"/>
      <c r="AE390" s="242"/>
      <c r="AF390" s="242"/>
      <c r="AG390" s="242"/>
      <c r="AH390" s="242"/>
      <c r="AI390" s="242"/>
      <c r="AJ390" s="242"/>
      <c r="AK390" s="242"/>
      <c r="AL390" s="242"/>
      <c r="AM390" s="242"/>
      <c r="AN390" s="241"/>
      <c r="AO390" s="242"/>
      <c r="AP390" s="242"/>
      <c r="AQ390" s="242"/>
      <c r="AR390" s="242"/>
      <c r="AS390" s="242"/>
      <c r="AT390" s="242"/>
      <c r="AU390" s="242"/>
      <c r="AV390" s="242"/>
      <c r="AW390" s="242"/>
      <c r="AX390" s="242"/>
      <c r="AY390" s="242"/>
      <c r="AZ390" s="242"/>
      <c r="BA390" s="242"/>
      <c r="BB390" s="237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</row>
    <row r="391" spans="1:68" ht="14.25" hidden="1" customHeight="1" outlineLevel="1">
      <c r="A391" s="233"/>
      <c r="B391" s="237"/>
      <c r="C391" s="237"/>
      <c r="D391" s="237"/>
      <c r="E391" s="242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34"/>
      <c r="T391" s="242"/>
      <c r="U391" s="242"/>
      <c r="V391" s="242"/>
      <c r="W391" s="242"/>
      <c r="X391" s="242"/>
      <c r="Y391" s="242"/>
      <c r="Z391" s="242"/>
      <c r="AA391" s="242"/>
      <c r="AB391" s="242"/>
      <c r="AC391" s="242"/>
      <c r="AD391" s="242"/>
      <c r="AE391" s="242"/>
      <c r="AF391" s="242"/>
      <c r="AG391" s="242"/>
      <c r="AH391" s="242"/>
      <c r="AI391" s="242"/>
      <c r="AJ391" s="242"/>
      <c r="AK391" s="242"/>
      <c r="AL391" s="242"/>
      <c r="AM391" s="242"/>
      <c r="AN391" s="241"/>
      <c r="AO391" s="242"/>
      <c r="AP391" s="242"/>
      <c r="AQ391" s="242"/>
      <c r="AR391" s="242"/>
      <c r="AS391" s="242"/>
      <c r="AT391" s="242"/>
      <c r="AU391" s="242"/>
      <c r="AV391" s="242"/>
      <c r="AW391" s="242"/>
      <c r="AX391" s="242"/>
      <c r="AY391" s="242"/>
      <c r="AZ391" s="242"/>
      <c r="BA391" s="242"/>
      <c r="BB391" s="237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  <c r="BM391" s="242"/>
      <c r="BN391" s="242"/>
      <c r="BO391" s="242"/>
      <c r="BP391" s="242"/>
    </row>
    <row r="392" spans="1:68" ht="14.25" hidden="1" customHeight="1" outlineLevel="1">
      <c r="A392" s="233"/>
      <c r="B392" s="237"/>
      <c r="C392" s="237"/>
      <c r="D392" s="237"/>
      <c r="E392" s="242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34"/>
      <c r="T392" s="242"/>
      <c r="U392" s="242"/>
      <c r="V392" s="242"/>
      <c r="W392" s="242"/>
      <c r="X392" s="242"/>
      <c r="Y392" s="242"/>
      <c r="Z392" s="242"/>
      <c r="AA392" s="242"/>
      <c r="AB392" s="242"/>
      <c r="AC392" s="242"/>
      <c r="AD392" s="242"/>
      <c r="AE392" s="242"/>
      <c r="AF392" s="242"/>
      <c r="AG392" s="242"/>
      <c r="AH392" s="242"/>
      <c r="AI392" s="242"/>
      <c r="AJ392" s="242"/>
      <c r="AK392" s="242"/>
      <c r="AL392" s="242"/>
      <c r="AM392" s="242"/>
      <c r="AN392" s="241"/>
      <c r="AO392" s="242"/>
      <c r="AP392" s="242"/>
      <c r="AQ392" s="242"/>
      <c r="AR392" s="242"/>
      <c r="AS392" s="242"/>
      <c r="AT392" s="242"/>
      <c r="AU392" s="242"/>
      <c r="AV392" s="242"/>
      <c r="AW392" s="242"/>
      <c r="AX392" s="242"/>
      <c r="AY392" s="242"/>
      <c r="AZ392" s="242"/>
      <c r="BA392" s="242"/>
      <c r="BB392" s="237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</row>
    <row r="393" spans="1:68" ht="14.25" hidden="1" customHeight="1" outlineLevel="1">
      <c r="A393" s="233"/>
      <c r="B393" s="237"/>
      <c r="C393" s="237"/>
      <c r="D393" s="237"/>
      <c r="E393" s="242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34"/>
      <c r="T393" s="242"/>
      <c r="U393" s="242"/>
      <c r="V393" s="242"/>
      <c r="W393" s="242"/>
      <c r="X393" s="242"/>
      <c r="Y393" s="242"/>
      <c r="Z393" s="242"/>
      <c r="AA393" s="242"/>
      <c r="AB393" s="242"/>
      <c r="AC393" s="242"/>
      <c r="AD393" s="242"/>
      <c r="AE393" s="242"/>
      <c r="AF393" s="242"/>
      <c r="AG393" s="242"/>
      <c r="AH393" s="242"/>
      <c r="AI393" s="242"/>
      <c r="AJ393" s="242"/>
      <c r="AK393" s="242"/>
      <c r="AL393" s="242"/>
      <c r="AM393" s="242"/>
      <c r="AN393" s="241"/>
      <c r="AO393" s="242"/>
      <c r="AP393" s="242"/>
      <c r="AQ393" s="242"/>
      <c r="AR393" s="242"/>
      <c r="AS393" s="242"/>
      <c r="AT393" s="242"/>
      <c r="AU393" s="242"/>
      <c r="AV393" s="242"/>
      <c r="AW393" s="242"/>
      <c r="AX393" s="242"/>
      <c r="AY393" s="242"/>
      <c r="AZ393" s="242"/>
      <c r="BA393" s="242"/>
      <c r="BB393" s="237"/>
      <c r="BC393" s="242"/>
      <c r="BD393" s="242"/>
      <c r="BE393" s="242"/>
      <c r="BF393" s="242"/>
      <c r="BG393" s="242"/>
      <c r="BH393" s="242"/>
      <c r="BI393" s="242"/>
      <c r="BJ393" s="242"/>
      <c r="BK393" s="242"/>
      <c r="BL393" s="242"/>
      <c r="BM393" s="242"/>
      <c r="BN393" s="242"/>
      <c r="BO393" s="242"/>
      <c r="BP393" s="242"/>
    </row>
    <row r="394" spans="1:68" ht="14.25" hidden="1" customHeight="1" outlineLevel="1">
      <c r="A394" s="233"/>
      <c r="B394" s="237"/>
      <c r="C394" s="237"/>
      <c r="D394" s="237"/>
      <c r="E394" s="242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34"/>
      <c r="T394" s="242"/>
      <c r="U394" s="242"/>
      <c r="V394" s="242"/>
      <c r="W394" s="242"/>
      <c r="X394" s="242"/>
      <c r="Y394" s="242"/>
      <c r="Z394" s="242"/>
      <c r="AA394" s="242"/>
      <c r="AB394" s="242"/>
      <c r="AC394" s="242"/>
      <c r="AD394" s="242"/>
      <c r="AE394" s="242"/>
      <c r="AF394" s="242"/>
      <c r="AG394" s="242"/>
      <c r="AH394" s="242"/>
      <c r="AI394" s="242"/>
      <c r="AJ394" s="242"/>
      <c r="AK394" s="242"/>
      <c r="AL394" s="242"/>
      <c r="AM394" s="242"/>
      <c r="AN394" s="241"/>
      <c r="AO394" s="242"/>
      <c r="AP394" s="242"/>
      <c r="AQ394" s="242"/>
      <c r="AR394" s="242"/>
      <c r="AS394" s="242"/>
      <c r="AT394" s="242"/>
      <c r="AU394" s="242"/>
      <c r="AV394" s="242"/>
      <c r="AW394" s="242"/>
      <c r="AX394" s="242"/>
      <c r="AY394" s="242"/>
      <c r="AZ394" s="242"/>
      <c r="BA394" s="242"/>
      <c r="BB394" s="237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</row>
    <row r="395" spans="1:68" ht="14.25" hidden="1" customHeight="1" outlineLevel="1">
      <c r="A395" s="233"/>
      <c r="B395" s="237"/>
      <c r="C395" s="237"/>
      <c r="D395" s="237"/>
      <c r="E395" s="242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34"/>
      <c r="T395" s="242"/>
      <c r="U395" s="242"/>
      <c r="V395" s="242"/>
      <c r="W395" s="242"/>
      <c r="X395" s="242"/>
      <c r="Y395" s="242"/>
      <c r="Z395" s="242"/>
      <c r="AA395" s="242"/>
      <c r="AB395" s="242"/>
      <c r="AC395" s="242"/>
      <c r="AD395" s="242"/>
      <c r="AE395" s="242"/>
      <c r="AF395" s="242"/>
      <c r="AG395" s="242"/>
      <c r="AH395" s="242"/>
      <c r="AI395" s="242"/>
      <c r="AJ395" s="242"/>
      <c r="AK395" s="242"/>
      <c r="AL395" s="242"/>
      <c r="AM395" s="242"/>
      <c r="AN395" s="241"/>
      <c r="AO395" s="242"/>
      <c r="AP395" s="242"/>
      <c r="AQ395" s="242"/>
      <c r="AR395" s="242"/>
      <c r="AS395" s="242"/>
      <c r="AT395" s="242"/>
      <c r="AU395" s="242"/>
      <c r="AV395" s="242"/>
      <c r="AW395" s="242"/>
      <c r="AX395" s="242"/>
      <c r="AY395" s="242"/>
      <c r="AZ395" s="242"/>
      <c r="BA395" s="242"/>
      <c r="BB395" s="237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</row>
    <row r="396" spans="1:68" ht="14.25" hidden="1" customHeight="1" outlineLevel="1">
      <c r="A396" s="233"/>
      <c r="B396" s="237"/>
      <c r="C396" s="237"/>
      <c r="D396" s="237"/>
      <c r="E396" s="242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34"/>
      <c r="T396" s="242"/>
      <c r="U396" s="242"/>
      <c r="V396" s="242"/>
      <c r="W396" s="242"/>
      <c r="X396" s="242"/>
      <c r="Y396" s="242"/>
      <c r="Z396" s="242"/>
      <c r="AA396" s="242"/>
      <c r="AB396" s="242"/>
      <c r="AC396" s="242"/>
      <c r="AD396" s="242"/>
      <c r="AE396" s="242"/>
      <c r="AF396" s="242"/>
      <c r="AG396" s="242"/>
      <c r="AH396" s="242"/>
      <c r="AI396" s="242"/>
      <c r="AJ396" s="242"/>
      <c r="AK396" s="242"/>
      <c r="AL396" s="242"/>
      <c r="AM396" s="242"/>
      <c r="AN396" s="241"/>
      <c r="AO396" s="242"/>
      <c r="AP396" s="242"/>
      <c r="AQ396" s="242"/>
      <c r="AR396" s="242"/>
      <c r="AS396" s="242"/>
      <c r="AT396" s="242"/>
      <c r="AU396" s="242"/>
      <c r="AV396" s="242"/>
      <c r="AW396" s="242"/>
      <c r="AX396" s="242"/>
      <c r="AY396" s="242"/>
      <c r="AZ396" s="242"/>
      <c r="BA396" s="242"/>
      <c r="BB396" s="237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  <c r="BM396" s="242"/>
      <c r="BN396" s="242"/>
      <c r="BO396" s="242"/>
      <c r="BP396" s="242"/>
    </row>
    <row r="397" spans="1:68" ht="14.25" hidden="1" customHeight="1" outlineLevel="1">
      <c r="A397" s="233"/>
      <c r="B397" s="237"/>
      <c r="C397" s="237"/>
      <c r="D397" s="237"/>
      <c r="E397" s="242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34"/>
      <c r="T397" s="242"/>
      <c r="U397" s="242"/>
      <c r="V397" s="242"/>
      <c r="W397" s="242"/>
      <c r="X397" s="242"/>
      <c r="Y397" s="242"/>
      <c r="Z397" s="242"/>
      <c r="AA397" s="242"/>
      <c r="AB397" s="242"/>
      <c r="AC397" s="242"/>
      <c r="AD397" s="242"/>
      <c r="AE397" s="242"/>
      <c r="AF397" s="242"/>
      <c r="AG397" s="242"/>
      <c r="AH397" s="242"/>
      <c r="AI397" s="242"/>
      <c r="AJ397" s="242"/>
      <c r="AK397" s="242"/>
      <c r="AL397" s="242"/>
      <c r="AM397" s="242"/>
      <c r="AN397" s="241"/>
      <c r="AO397" s="242"/>
      <c r="AP397" s="242"/>
      <c r="AQ397" s="242"/>
      <c r="AR397" s="242"/>
      <c r="AS397" s="242"/>
      <c r="AT397" s="242"/>
      <c r="AU397" s="242"/>
      <c r="AV397" s="242"/>
      <c r="AW397" s="242"/>
      <c r="AX397" s="242"/>
      <c r="AY397" s="242"/>
      <c r="AZ397" s="242"/>
      <c r="BA397" s="242"/>
      <c r="BB397" s="237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  <c r="BM397" s="242"/>
      <c r="BN397" s="242"/>
      <c r="BO397" s="242"/>
      <c r="BP397" s="242"/>
    </row>
    <row r="398" spans="1:68" ht="14.25" hidden="1" customHeight="1" outlineLevel="1">
      <c r="A398" s="233"/>
      <c r="B398" s="237"/>
      <c r="C398" s="237"/>
      <c r="D398" s="237"/>
      <c r="E398" s="242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34"/>
      <c r="T398" s="242"/>
      <c r="U398" s="242"/>
      <c r="V398" s="242"/>
      <c r="W398" s="242"/>
      <c r="X398" s="242"/>
      <c r="Y398" s="242"/>
      <c r="Z398" s="242"/>
      <c r="AA398" s="242"/>
      <c r="AB398" s="242"/>
      <c r="AC398" s="242"/>
      <c r="AD398" s="242"/>
      <c r="AE398" s="242"/>
      <c r="AF398" s="242"/>
      <c r="AG398" s="242"/>
      <c r="AH398" s="242"/>
      <c r="AI398" s="242"/>
      <c r="AJ398" s="242"/>
      <c r="AK398" s="242"/>
      <c r="AL398" s="242"/>
      <c r="AM398" s="242"/>
      <c r="AN398" s="241"/>
      <c r="AO398" s="242"/>
      <c r="AP398" s="242"/>
      <c r="AQ398" s="242"/>
      <c r="AR398" s="242"/>
      <c r="AS398" s="242"/>
      <c r="AT398" s="242"/>
      <c r="AU398" s="242"/>
      <c r="AV398" s="242"/>
      <c r="AW398" s="242"/>
      <c r="AX398" s="242"/>
      <c r="AY398" s="242"/>
      <c r="AZ398" s="242"/>
      <c r="BA398" s="242"/>
      <c r="BB398" s="237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  <c r="BM398" s="242"/>
      <c r="BN398" s="242"/>
      <c r="BO398" s="242"/>
      <c r="BP398" s="242"/>
    </row>
    <row r="399" spans="1:68" ht="14.25" hidden="1" customHeight="1" outlineLevel="1">
      <c r="A399" s="233"/>
      <c r="B399" s="237"/>
      <c r="C399" s="237"/>
      <c r="D399" s="237"/>
      <c r="E399" s="242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34"/>
      <c r="T399" s="242"/>
      <c r="U399" s="242"/>
      <c r="V399" s="242"/>
      <c r="W399" s="242"/>
      <c r="X399" s="242"/>
      <c r="Y399" s="242"/>
      <c r="Z399" s="242"/>
      <c r="AA399" s="242"/>
      <c r="AB399" s="242"/>
      <c r="AC399" s="242"/>
      <c r="AD399" s="242"/>
      <c r="AE399" s="242"/>
      <c r="AF399" s="242"/>
      <c r="AG399" s="242"/>
      <c r="AH399" s="242"/>
      <c r="AI399" s="242"/>
      <c r="AJ399" s="242"/>
      <c r="AK399" s="242"/>
      <c r="AL399" s="242"/>
      <c r="AM399" s="242"/>
      <c r="AN399" s="241"/>
      <c r="AO399" s="242"/>
      <c r="AP399" s="242"/>
      <c r="AQ399" s="242"/>
      <c r="AR399" s="242"/>
      <c r="AS399" s="242"/>
      <c r="AT399" s="242"/>
      <c r="AU399" s="242"/>
      <c r="AV399" s="242"/>
      <c r="AW399" s="242"/>
      <c r="AX399" s="242"/>
      <c r="AY399" s="242"/>
      <c r="AZ399" s="242"/>
      <c r="BA399" s="242"/>
      <c r="BB399" s="237"/>
      <c r="BC399" s="242"/>
      <c r="BD399" s="242"/>
      <c r="BE399" s="242"/>
      <c r="BF399" s="242"/>
      <c r="BG399" s="242"/>
      <c r="BH399" s="242"/>
      <c r="BI399" s="242"/>
      <c r="BJ399" s="242"/>
      <c r="BK399" s="242"/>
      <c r="BL399" s="242"/>
      <c r="BM399" s="242"/>
      <c r="BN399" s="242"/>
      <c r="BO399" s="242"/>
      <c r="BP399" s="242"/>
    </row>
    <row r="400" spans="1:68" ht="14.25" hidden="1" customHeight="1" outlineLevel="1">
      <c r="A400" s="233"/>
      <c r="B400" s="237"/>
      <c r="C400" s="237"/>
      <c r="D400" s="237"/>
      <c r="E400" s="242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34"/>
      <c r="T400" s="242"/>
      <c r="U400" s="242"/>
      <c r="V400" s="242"/>
      <c r="W400" s="242"/>
      <c r="X400" s="242"/>
      <c r="Y400" s="242"/>
      <c r="Z400" s="242"/>
      <c r="AA400" s="242"/>
      <c r="AB400" s="242"/>
      <c r="AC400" s="242"/>
      <c r="AD400" s="242"/>
      <c r="AE400" s="242"/>
      <c r="AF400" s="242"/>
      <c r="AG400" s="242"/>
      <c r="AH400" s="242"/>
      <c r="AI400" s="242"/>
      <c r="AJ400" s="242"/>
      <c r="AK400" s="242"/>
      <c r="AL400" s="242"/>
      <c r="AM400" s="242"/>
      <c r="AN400" s="241"/>
      <c r="AO400" s="242"/>
      <c r="AP400" s="242"/>
      <c r="AQ400" s="242"/>
      <c r="AR400" s="242"/>
      <c r="AS400" s="242"/>
      <c r="AT400" s="242"/>
      <c r="AU400" s="242"/>
      <c r="AV400" s="242"/>
      <c r="AW400" s="242"/>
      <c r="AX400" s="242"/>
      <c r="AY400" s="242"/>
      <c r="AZ400" s="242"/>
      <c r="BA400" s="242"/>
      <c r="BB400" s="237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  <c r="BM400" s="242"/>
      <c r="BN400" s="242"/>
      <c r="BO400" s="242"/>
      <c r="BP400" s="242"/>
    </row>
    <row r="401" spans="1:68" ht="14.25" hidden="1" customHeight="1" outlineLevel="1">
      <c r="A401" s="233"/>
      <c r="B401" s="237"/>
      <c r="C401" s="237"/>
      <c r="D401" s="237"/>
      <c r="E401" s="242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34"/>
      <c r="T401" s="242"/>
      <c r="U401" s="242"/>
      <c r="V401" s="242"/>
      <c r="W401" s="242"/>
      <c r="X401" s="242"/>
      <c r="Y401" s="242"/>
      <c r="Z401" s="242"/>
      <c r="AA401" s="242"/>
      <c r="AB401" s="242"/>
      <c r="AC401" s="242"/>
      <c r="AD401" s="242"/>
      <c r="AE401" s="242"/>
      <c r="AF401" s="242"/>
      <c r="AG401" s="242"/>
      <c r="AH401" s="242"/>
      <c r="AI401" s="242"/>
      <c r="AJ401" s="242"/>
      <c r="AK401" s="242"/>
      <c r="AL401" s="242"/>
      <c r="AM401" s="242"/>
      <c r="AN401" s="241"/>
      <c r="AO401" s="242"/>
      <c r="AP401" s="242"/>
      <c r="AQ401" s="242"/>
      <c r="AR401" s="242"/>
      <c r="AS401" s="242"/>
      <c r="AT401" s="242"/>
      <c r="AU401" s="242"/>
      <c r="AV401" s="242"/>
      <c r="AW401" s="242"/>
      <c r="AX401" s="242"/>
      <c r="AY401" s="242"/>
      <c r="AZ401" s="242"/>
      <c r="BA401" s="242"/>
      <c r="BB401" s="237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  <c r="BM401" s="242"/>
      <c r="BN401" s="242"/>
      <c r="BO401" s="242"/>
      <c r="BP401" s="242"/>
    </row>
    <row r="402" spans="1:68" ht="14.25" hidden="1" customHeight="1" outlineLevel="1">
      <c r="A402" s="233"/>
      <c r="B402" s="237"/>
      <c r="C402" s="237"/>
      <c r="D402" s="237"/>
      <c r="E402" s="242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34"/>
      <c r="T402" s="242"/>
      <c r="U402" s="242"/>
      <c r="V402" s="242"/>
      <c r="W402" s="242"/>
      <c r="X402" s="242"/>
      <c r="Y402" s="242"/>
      <c r="Z402" s="242"/>
      <c r="AA402" s="242"/>
      <c r="AB402" s="242"/>
      <c r="AC402" s="242"/>
      <c r="AD402" s="242"/>
      <c r="AE402" s="242"/>
      <c r="AF402" s="242"/>
      <c r="AG402" s="242"/>
      <c r="AH402" s="242"/>
      <c r="AI402" s="242"/>
      <c r="AJ402" s="242"/>
      <c r="AK402" s="242"/>
      <c r="AL402" s="242"/>
      <c r="AM402" s="242"/>
      <c r="AN402" s="241"/>
      <c r="AO402" s="242"/>
      <c r="AP402" s="242"/>
      <c r="AQ402" s="242"/>
      <c r="AR402" s="242"/>
      <c r="AS402" s="242"/>
      <c r="AT402" s="242"/>
      <c r="AU402" s="242"/>
      <c r="AV402" s="242"/>
      <c r="AW402" s="242"/>
      <c r="AX402" s="242"/>
      <c r="AY402" s="242"/>
      <c r="AZ402" s="242"/>
      <c r="BA402" s="242"/>
      <c r="BB402" s="237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  <c r="BM402" s="242"/>
      <c r="BN402" s="242"/>
      <c r="BO402" s="242"/>
      <c r="BP402" s="242"/>
    </row>
    <row r="403" spans="1:68" ht="14.25" hidden="1" customHeight="1" outlineLevel="1">
      <c r="A403" s="233"/>
      <c r="B403" s="237"/>
      <c r="C403" s="237"/>
      <c r="D403" s="237"/>
      <c r="E403" s="242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34"/>
      <c r="T403" s="242"/>
      <c r="U403" s="242"/>
      <c r="V403" s="242"/>
      <c r="W403" s="242"/>
      <c r="X403" s="242"/>
      <c r="Y403" s="242"/>
      <c r="Z403" s="242"/>
      <c r="AA403" s="242"/>
      <c r="AB403" s="242"/>
      <c r="AC403" s="242"/>
      <c r="AD403" s="242"/>
      <c r="AE403" s="242"/>
      <c r="AF403" s="242"/>
      <c r="AG403" s="242"/>
      <c r="AH403" s="242"/>
      <c r="AI403" s="242"/>
      <c r="AJ403" s="242"/>
      <c r="AK403" s="242"/>
      <c r="AL403" s="242"/>
      <c r="AM403" s="242"/>
      <c r="AN403" s="241"/>
      <c r="AO403" s="242"/>
      <c r="AP403" s="242"/>
      <c r="AQ403" s="242"/>
      <c r="AR403" s="242"/>
      <c r="AS403" s="242"/>
      <c r="AT403" s="242"/>
      <c r="AU403" s="242"/>
      <c r="AV403" s="242"/>
      <c r="AW403" s="242"/>
      <c r="AX403" s="242"/>
      <c r="AY403" s="242"/>
      <c r="AZ403" s="242"/>
      <c r="BA403" s="242"/>
      <c r="BB403" s="237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  <c r="BM403" s="242"/>
      <c r="BN403" s="242"/>
      <c r="BO403" s="242"/>
      <c r="BP403" s="242"/>
    </row>
    <row r="404" spans="1:68" ht="14.25" hidden="1" customHeight="1" outlineLevel="1">
      <c r="A404" s="233"/>
      <c r="B404" s="237"/>
      <c r="C404" s="237"/>
      <c r="D404" s="237"/>
      <c r="E404" s="242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34"/>
      <c r="T404" s="242"/>
      <c r="U404" s="242"/>
      <c r="V404" s="242"/>
      <c r="W404" s="242"/>
      <c r="X404" s="242"/>
      <c r="Y404" s="242"/>
      <c r="Z404" s="242"/>
      <c r="AA404" s="242"/>
      <c r="AB404" s="242"/>
      <c r="AC404" s="242"/>
      <c r="AD404" s="242"/>
      <c r="AE404" s="242"/>
      <c r="AF404" s="242"/>
      <c r="AG404" s="242"/>
      <c r="AH404" s="242"/>
      <c r="AI404" s="242"/>
      <c r="AJ404" s="242"/>
      <c r="AK404" s="242"/>
      <c r="AL404" s="242"/>
      <c r="AM404" s="242"/>
      <c r="AN404" s="241"/>
      <c r="AO404" s="242"/>
      <c r="AP404" s="242"/>
      <c r="AQ404" s="242"/>
      <c r="AR404" s="242"/>
      <c r="AS404" s="242"/>
      <c r="AT404" s="242"/>
      <c r="AU404" s="242"/>
      <c r="AV404" s="242"/>
      <c r="AW404" s="242"/>
      <c r="AX404" s="242"/>
      <c r="AY404" s="242"/>
      <c r="AZ404" s="242"/>
      <c r="BA404" s="242"/>
      <c r="BB404" s="237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  <c r="BM404" s="242"/>
      <c r="BN404" s="242"/>
      <c r="BO404" s="242"/>
      <c r="BP404" s="242"/>
    </row>
    <row r="405" spans="1:68" ht="14.25" hidden="1" customHeight="1" outlineLevel="1">
      <c r="A405" s="233"/>
      <c r="B405" s="237"/>
      <c r="C405" s="237"/>
      <c r="D405" s="237"/>
      <c r="E405" s="242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34"/>
      <c r="T405" s="242"/>
      <c r="U405" s="242"/>
      <c r="V405" s="242"/>
      <c r="W405" s="242"/>
      <c r="X405" s="242"/>
      <c r="Y405" s="242"/>
      <c r="Z405" s="242"/>
      <c r="AA405" s="242"/>
      <c r="AB405" s="242"/>
      <c r="AC405" s="242"/>
      <c r="AD405" s="242"/>
      <c r="AE405" s="242"/>
      <c r="AF405" s="242"/>
      <c r="AG405" s="242"/>
      <c r="AH405" s="242"/>
      <c r="AI405" s="242"/>
      <c r="AJ405" s="242"/>
      <c r="AK405" s="242"/>
      <c r="AL405" s="242"/>
      <c r="AM405" s="242"/>
      <c r="AN405" s="241"/>
      <c r="AO405" s="242"/>
      <c r="AP405" s="242"/>
      <c r="AQ405" s="242"/>
      <c r="AR405" s="242"/>
      <c r="AS405" s="242"/>
      <c r="AT405" s="242"/>
      <c r="AU405" s="242"/>
      <c r="AV405" s="242"/>
      <c r="AW405" s="242"/>
      <c r="AX405" s="242"/>
      <c r="AY405" s="242"/>
      <c r="AZ405" s="242"/>
      <c r="BA405" s="242"/>
      <c r="BB405" s="237"/>
      <c r="BC405" s="242"/>
      <c r="BD405" s="242"/>
      <c r="BE405" s="242"/>
      <c r="BF405" s="242"/>
      <c r="BG405" s="242"/>
      <c r="BH405" s="242"/>
      <c r="BI405" s="242"/>
      <c r="BJ405" s="242"/>
      <c r="BK405" s="242"/>
      <c r="BL405" s="242"/>
      <c r="BM405" s="242"/>
      <c r="BN405" s="242"/>
      <c r="BO405" s="242"/>
      <c r="BP405" s="242"/>
    </row>
    <row r="406" spans="1:68" ht="14.25" hidden="1" customHeight="1" outlineLevel="1">
      <c r="A406" s="233"/>
      <c r="B406" s="237"/>
      <c r="C406" s="237"/>
      <c r="D406" s="237"/>
      <c r="E406" s="242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34"/>
      <c r="T406" s="242"/>
      <c r="U406" s="242"/>
      <c r="V406" s="242"/>
      <c r="W406" s="242"/>
      <c r="X406" s="242"/>
      <c r="Y406" s="242"/>
      <c r="Z406" s="242"/>
      <c r="AA406" s="242"/>
      <c r="AB406" s="242"/>
      <c r="AC406" s="242"/>
      <c r="AD406" s="242"/>
      <c r="AE406" s="242"/>
      <c r="AF406" s="242"/>
      <c r="AG406" s="242"/>
      <c r="AH406" s="242"/>
      <c r="AI406" s="242"/>
      <c r="AJ406" s="242"/>
      <c r="AK406" s="242"/>
      <c r="AL406" s="242"/>
      <c r="AM406" s="242"/>
      <c r="AN406" s="241"/>
      <c r="AO406" s="242"/>
      <c r="AP406" s="242"/>
      <c r="AQ406" s="242"/>
      <c r="AR406" s="242"/>
      <c r="AS406" s="242"/>
      <c r="AT406" s="242"/>
      <c r="AU406" s="242"/>
      <c r="AV406" s="242"/>
      <c r="AW406" s="242"/>
      <c r="AX406" s="242"/>
      <c r="AY406" s="242"/>
      <c r="AZ406" s="242"/>
      <c r="BA406" s="242"/>
      <c r="BB406" s="237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  <c r="BM406" s="242"/>
      <c r="BN406" s="242"/>
      <c r="BO406" s="242"/>
      <c r="BP406" s="242"/>
    </row>
    <row r="407" spans="1:68" ht="14.25" hidden="1" customHeight="1" outlineLevel="1">
      <c r="A407" s="233"/>
      <c r="B407" s="237"/>
      <c r="C407" s="237"/>
      <c r="D407" s="237"/>
      <c r="E407" s="242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34"/>
      <c r="T407" s="242"/>
      <c r="U407" s="242"/>
      <c r="V407" s="242"/>
      <c r="W407" s="242"/>
      <c r="X407" s="242"/>
      <c r="Y407" s="242"/>
      <c r="Z407" s="242"/>
      <c r="AA407" s="242"/>
      <c r="AB407" s="242"/>
      <c r="AC407" s="242"/>
      <c r="AD407" s="242"/>
      <c r="AE407" s="242"/>
      <c r="AF407" s="242"/>
      <c r="AG407" s="242"/>
      <c r="AH407" s="242"/>
      <c r="AI407" s="242"/>
      <c r="AJ407" s="242"/>
      <c r="AK407" s="242"/>
      <c r="AL407" s="242"/>
      <c r="AM407" s="242"/>
      <c r="AN407" s="241"/>
      <c r="AO407" s="242"/>
      <c r="AP407" s="242"/>
      <c r="AQ407" s="242"/>
      <c r="AR407" s="242"/>
      <c r="AS407" s="242"/>
      <c r="AT407" s="242"/>
      <c r="AU407" s="242"/>
      <c r="AV407" s="242"/>
      <c r="AW407" s="242"/>
      <c r="AX407" s="242"/>
      <c r="AY407" s="242"/>
      <c r="AZ407" s="242"/>
      <c r="BA407" s="242"/>
      <c r="BB407" s="237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  <c r="BM407" s="242"/>
      <c r="BN407" s="242"/>
      <c r="BO407" s="242"/>
      <c r="BP407" s="242"/>
    </row>
    <row r="408" spans="1:68" ht="14.25" hidden="1" customHeight="1" outlineLevel="1">
      <c r="A408" s="233"/>
      <c r="B408" s="237"/>
      <c r="C408" s="237"/>
      <c r="D408" s="237"/>
      <c r="E408" s="242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34"/>
      <c r="T408" s="242"/>
      <c r="U408" s="242"/>
      <c r="V408" s="242"/>
      <c r="W408" s="242"/>
      <c r="X408" s="242"/>
      <c r="Y408" s="242"/>
      <c r="Z408" s="242"/>
      <c r="AA408" s="242"/>
      <c r="AB408" s="242"/>
      <c r="AC408" s="242"/>
      <c r="AD408" s="242"/>
      <c r="AE408" s="242"/>
      <c r="AF408" s="242"/>
      <c r="AG408" s="242"/>
      <c r="AH408" s="242"/>
      <c r="AI408" s="242"/>
      <c r="AJ408" s="242"/>
      <c r="AK408" s="242"/>
      <c r="AL408" s="242"/>
      <c r="AM408" s="242"/>
      <c r="AN408" s="241"/>
      <c r="AO408" s="242"/>
      <c r="AP408" s="242"/>
      <c r="AQ408" s="242"/>
      <c r="AR408" s="242"/>
      <c r="AS408" s="242"/>
      <c r="AT408" s="242"/>
      <c r="AU408" s="242"/>
      <c r="AV408" s="242"/>
      <c r="AW408" s="242"/>
      <c r="AX408" s="242"/>
      <c r="AY408" s="242"/>
      <c r="AZ408" s="242"/>
      <c r="BA408" s="242"/>
      <c r="BB408" s="237"/>
      <c r="BC408" s="242"/>
      <c r="BD408" s="242"/>
      <c r="BE408" s="242"/>
      <c r="BF408" s="242"/>
      <c r="BG408" s="242"/>
      <c r="BH408" s="242"/>
      <c r="BI408" s="242"/>
      <c r="BJ408" s="242"/>
      <c r="BK408" s="242"/>
      <c r="BL408" s="242"/>
      <c r="BM408" s="242"/>
      <c r="BN408" s="242"/>
      <c r="BO408" s="242"/>
      <c r="BP408" s="242"/>
    </row>
    <row r="409" spans="1:68" ht="14.25" hidden="1" customHeight="1" outlineLevel="1">
      <c r="A409" s="233"/>
      <c r="B409" s="237"/>
      <c r="C409" s="237"/>
      <c r="D409" s="237"/>
      <c r="E409" s="242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34"/>
      <c r="T409" s="242"/>
      <c r="U409" s="242"/>
      <c r="V409" s="242"/>
      <c r="W409" s="242"/>
      <c r="X409" s="242"/>
      <c r="Y409" s="242"/>
      <c r="Z409" s="242"/>
      <c r="AA409" s="242"/>
      <c r="AB409" s="242"/>
      <c r="AC409" s="242"/>
      <c r="AD409" s="242"/>
      <c r="AE409" s="242"/>
      <c r="AF409" s="242"/>
      <c r="AG409" s="242"/>
      <c r="AH409" s="242"/>
      <c r="AI409" s="242"/>
      <c r="AJ409" s="242"/>
      <c r="AK409" s="242"/>
      <c r="AL409" s="242"/>
      <c r="AM409" s="242"/>
      <c r="AN409" s="241"/>
      <c r="AO409" s="242"/>
      <c r="AP409" s="242"/>
      <c r="AQ409" s="242"/>
      <c r="AR409" s="242"/>
      <c r="AS409" s="242"/>
      <c r="AT409" s="242"/>
      <c r="AU409" s="242"/>
      <c r="AV409" s="242"/>
      <c r="AW409" s="242"/>
      <c r="AX409" s="242"/>
      <c r="AY409" s="242"/>
      <c r="AZ409" s="242"/>
      <c r="BA409" s="242"/>
      <c r="BB409" s="237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  <c r="BM409" s="242"/>
      <c r="BN409" s="242"/>
      <c r="BO409" s="242"/>
      <c r="BP409" s="242"/>
    </row>
    <row r="410" spans="1:68" ht="14.25" hidden="1" customHeight="1" outlineLevel="1">
      <c r="A410" s="233"/>
      <c r="B410" s="237"/>
      <c r="C410" s="237"/>
      <c r="D410" s="237"/>
      <c r="E410" s="242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34"/>
      <c r="T410" s="242"/>
      <c r="U410" s="242"/>
      <c r="V410" s="242"/>
      <c r="W410" s="242"/>
      <c r="X410" s="242"/>
      <c r="Y410" s="242"/>
      <c r="Z410" s="242"/>
      <c r="AA410" s="242"/>
      <c r="AB410" s="242"/>
      <c r="AC410" s="242"/>
      <c r="AD410" s="242"/>
      <c r="AE410" s="242"/>
      <c r="AF410" s="242"/>
      <c r="AG410" s="242"/>
      <c r="AH410" s="242"/>
      <c r="AI410" s="242"/>
      <c r="AJ410" s="242"/>
      <c r="AK410" s="242"/>
      <c r="AL410" s="242"/>
      <c r="AM410" s="242"/>
      <c r="AN410" s="241"/>
      <c r="AO410" s="242"/>
      <c r="AP410" s="242"/>
      <c r="AQ410" s="242"/>
      <c r="AR410" s="242"/>
      <c r="AS410" s="242"/>
      <c r="AT410" s="242"/>
      <c r="AU410" s="242"/>
      <c r="AV410" s="242"/>
      <c r="AW410" s="242"/>
      <c r="AX410" s="242"/>
      <c r="AY410" s="242"/>
      <c r="AZ410" s="242"/>
      <c r="BA410" s="242"/>
      <c r="BB410" s="237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  <c r="BM410" s="242"/>
      <c r="BN410" s="242"/>
      <c r="BO410" s="242"/>
      <c r="BP410" s="242"/>
    </row>
    <row r="411" spans="1:68" ht="14.25" hidden="1" customHeight="1" outlineLevel="1">
      <c r="A411" s="233"/>
      <c r="B411" s="237"/>
      <c r="C411" s="237"/>
      <c r="D411" s="237"/>
      <c r="E411" s="242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34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  <c r="AD411" s="242"/>
      <c r="AE411" s="242"/>
      <c r="AF411" s="242"/>
      <c r="AG411" s="242"/>
      <c r="AH411" s="242"/>
      <c r="AI411" s="242"/>
      <c r="AJ411" s="242"/>
      <c r="AK411" s="242"/>
      <c r="AL411" s="242"/>
      <c r="AM411" s="242"/>
      <c r="AN411" s="241"/>
      <c r="AO411" s="242"/>
      <c r="AP411" s="242"/>
      <c r="AQ411" s="242"/>
      <c r="AR411" s="242"/>
      <c r="AS411" s="242"/>
      <c r="AT411" s="242"/>
      <c r="AU411" s="242"/>
      <c r="AV411" s="242"/>
      <c r="AW411" s="242"/>
      <c r="AX411" s="242"/>
      <c r="AY411" s="242"/>
      <c r="AZ411" s="242"/>
      <c r="BA411" s="242"/>
      <c r="BB411" s="237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</row>
    <row r="412" spans="1:68" ht="14.25" hidden="1" customHeight="1" outlineLevel="1">
      <c r="A412" s="233"/>
      <c r="B412" s="237"/>
      <c r="C412" s="237"/>
      <c r="D412" s="237"/>
      <c r="E412" s="242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34"/>
      <c r="T412" s="242"/>
      <c r="U412" s="242"/>
      <c r="V412" s="242"/>
      <c r="W412" s="242"/>
      <c r="X412" s="242"/>
      <c r="Y412" s="242"/>
      <c r="Z412" s="242"/>
      <c r="AA412" s="242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2"/>
      <c r="AN412" s="241"/>
      <c r="AO412" s="242"/>
      <c r="AP412" s="242"/>
      <c r="AQ412" s="242"/>
      <c r="AR412" s="242"/>
      <c r="AS412" s="242"/>
      <c r="AT412" s="242"/>
      <c r="AU412" s="242"/>
      <c r="AV412" s="242"/>
      <c r="AW412" s="242"/>
      <c r="AX412" s="242"/>
      <c r="AY412" s="242"/>
      <c r="AZ412" s="242"/>
      <c r="BA412" s="242"/>
      <c r="BB412" s="237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  <c r="BM412" s="242"/>
      <c r="BN412" s="242"/>
      <c r="BO412" s="242"/>
      <c r="BP412" s="242"/>
    </row>
    <row r="413" spans="1:68" ht="14.25" hidden="1" customHeight="1" outlineLevel="1">
      <c r="A413" s="233"/>
      <c r="B413" s="237"/>
      <c r="C413" s="237"/>
      <c r="D413" s="237"/>
      <c r="E413" s="242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34"/>
      <c r="T413" s="242"/>
      <c r="U413" s="242"/>
      <c r="V413" s="242"/>
      <c r="W413" s="242"/>
      <c r="X413" s="242"/>
      <c r="Y413" s="242"/>
      <c r="Z413" s="242"/>
      <c r="AA413" s="242"/>
      <c r="AB413" s="242"/>
      <c r="AC413" s="242"/>
      <c r="AD413" s="242"/>
      <c r="AE413" s="242"/>
      <c r="AF413" s="242"/>
      <c r="AG413" s="242"/>
      <c r="AH413" s="242"/>
      <c r="AI413" s="242"/>
      <c r="AJ413" s="242"/>
      <c r="AK413" s="242"/>
      <c r="AL413" s="242"/>
      <c r="AM413" s="242"/>
      <c r="AN413" s="241"/>
      <c r="AO413" s="242"/>
      <c r="AP413" s="242"/>
      <c r="AQ413" s="242"/>
      <c r="AR413" s="242"/>
      <c r="AS413" s="242"/>
      <c r="AT413" s="242"/>
      <c r="AU413" s="242"/>
      <c r="AV413" s="242"/>
      <c r="AW413" s="242"/>
      <c r="AX413" s="242"/>
      <c r="AY413" s="242"/>
      <c r="AZ413" s="242"/>
      <c r="BA413" s="242"/>
      <c r="BB413" s="237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  <c r="BM413" s="242"/>
      <c r="BN413" s="242"/>
      <c r="BO413" s="242"/>
      <c r="BP413" s="242"/>
    </row>
    <row r="414" spans="1:68" ht="14.25" hidden="1" customHeight="1" outlineLevel="1">
      <c r="A414" s="233"/>
      <c r="B414" s="237"/>
      <c r="C414" s="237"/>
      <c r="D414" s="237"/>
      <c r="E414" s="242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34"/>
      <c r="T414" s="242"/>
      <c r="U414" s="242"/>
      <c r="V414" s="242"/>
      <c r="W414" s="242"/>
      <c r="X414" s="242"/>
      <c r="Y414" s="242"/>
      <c r="Z414" s="242"/>
      <c r="AA414" s="242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2"/>
      <c r="AN414" s="241"/>
      <c r="AO414" s="242"/>
      <c r="AP414" s="242"/>
      <c r="AQ414" s="242"/>
      <c r="AR414" s="242"/>
      <c r="AS414" s="242"/>
      <c r="AT414" s="242"/>
      <c r="AU414" s="242"/>
      <c r="AV414" s="242"/>
      <c r="AW414" s="242"/>
      <c r="AX414" s="242"/>
      <c r="AY414" s="242"/>
      <c r="AZ414" s="242"/>
      <c r="BA414" s="242"/>
      <c r="BB414" s="237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</row>
    <row r="415" spans="1:68" ht="14.25" hidden="1" customHeight="1" outlineLevel="1">
      <c r="A415" s="233"/>
      <c r="B415" s="237"/>
      <c r="C415" s="237"/>
      <c r="D415" s="237"/>
      <c r="E415" s="242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34"/>
      <c r="T415" s="242"/>
      <c r="U415" s="242"/>
      <c r="V415" s="242"/>
      <c r="W415" s="242"/>
      <c r="X415" s="242"/>
      <c r="Y415" s="242"/>
      <c r="Z415" s="242"/>
      <c r="AA415" s="242"/>
      <c r="AB415" s="242"/>
      <c r="AC415" s="242"/>
      <c r="AD415" s="242"/>
      <c r="AE415" s="242"/>
      <c r="AF415" s="242"/>
      <c r="AG415" s="242"/>
      <c r="AH415" s="242"/>
      <c r="AI415" s="242"/>
      <c r="AJ415" s="242"/>
      <c r="AK415" s="242"/>
      <c r="AL415" s="242"/>
      <c r="AM415" s="242"/>
      <c r="AN415" s="241"/>
      <c r="AO415" s="242"/>
      <c r="AP415" s="242"/>
      <c r="AQ415" s="242"/>
      <c r="AR415" s="242"/>
      <c r="AS415" s="242"/>
      <c r="AT415" s="242"/>
      <c r="AU415" s="242"/>
      <c r="AV415" s="242"/>
      <c r="AW415" s="242"/>
      <c r="AX415" s="242"/>
      <c r="AY415" s="242"/>
      <c r="AZ415" s="242"/>
      <c r="BA415" s="242"/>
      <c r="BB415" s="237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</row>
    <row r="416" spans="1:68" ht="14.25" hidden="1" customHeight="1" outlineLevel="1">
      <c r="A416" s="233"/>
      <c r="B416" s="237"/>
      <c r="C416" s="237"/>
      <c r="D416" s="237"/>
      <c r="E416" s="242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34"/>
      <c r="T416" s="242"/>
      <c r="U416" s="242"/>
      <c r="V416" s="242"/>
      <c r="W416" s="242"/>
      <c r="X416" s="242"/>
      <c r="Y416" s="242"/>
      <c r="Z416" s="242"/>
      <c r="AA416" s="242"/>
      <c r="AB416" s="242"/>
      <c r="AC416" s="242"/>
      <c r="AD416" s="242"/>
      <c r="AE416" s="242"/>
      <c r="AF416" s="242"/>
      <c r="AG416" s="242"/>
      <c r="AH416" s="242"/>
      <c r="AI416" s="242"/>
      <c r="AJ416" s="242"/>
      <c r="AK416" s="242"/>
      <c r="AL416" s="242"/>
      <c r="AM416" s="242"/>
      <c r="AN416" s="241"/>
      <c r="AO416" s="242"/>
      <c r="AP416" s="242"/>
      <c r="AQ416" s="242"/>
      <c r="AR416" s="242"/>
      <c r="AS416" s="242"/>
      <c r="AT416" s="242"/>
      <c r="AU416" s="242"/>
      <c r="AV416" s="242"/>
      <c r="AW416" s="242"/>
      <c r="AX416" s="242"/>
      <c r="AY416" s="242"/>
      <c r="AZ416" s="242"/>
      <c r="BA416" s="242"/>
      <c r="BB416" s="237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</row>
    <row r="417" spans="1:68" ht="14.25" hidden="1" customHeight="1" outlineLevel="1">
      <c r="A417" s="233"/>
      <c r="B417" s="237"/>
      <c r="C417" s="237"/>
      <c r="D417" s="237"/>
      <c r="E417" s="242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34"/>
      <c r="T417" s="242"/>
      <c r="U417" s="242"/>
      <c r="V417" s="242"/>
      <c r="W417" s="242"/>
      <c r="X417" s="242"/>
      <c r="Y417" s="242"/>
      <c r="Z417" s="242"/>
      <c r="AA417" s="242"/>
      <c r="AB417" s="242"/>
      <c r="AC417" s="242"/>
      <c r="AD417" s="242"/>
      <c r="AE417" s="242"/>
      <c r="AF417" s="242"/>
      <c r="AG417" s="242"/>
      <c r="AH417" s="242"/>
      <c r="AI417" s="242"/>
      <c r="AJ417" s="242"/>
      <c r="AK417" s="242"/>
      <c r="AL417" s="242"/>
      <c r="AM417" s="242"/>
      <c r="AN417" s="241"/>
      <c r="AO417" s="242"/>
      <c r="AP417" s="242"/>
      <c r="AQ417" s="242"/>
      <c r="AR417" s="242"/>
      <c r="AS417" s="242"/>
      <c r="AT417" s="242"/>
      <c r="AU417" s="242"/>
      <c r="AV417" s="242"/>
      <c r="AW417" s="242"/>
      <c r="AX417" s="242"/>
      <c r="AY417" s="242"/>
      <c r="AZ417" s="242"/>
      <c r="BA417" s="242"/>
      <c r="BB417" s="237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</row>
    <row r="418" spans="1:68" ht="14.25" hidden="1" customHeight="1" outlineLevel="1">
      <c r="A418" s="233"/>
      <c r="B418" s="237"/>
      <c r="C418" s="237"/>
      <c r="D418" s="237"/>
      <c r="E418" s="242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34"/>
      <c r="T418" s="242"/>
      <c r="U418" s="242"/>
      <c r="V418" s="242"/>
      <c r="W418" s="242"/>
      <c r="X418" s="242"/>
      <c r="Y418" s="242"/>
      <c r="Z418" s="242"/>
      <c r="AA418" s="242"/>
      <c r="AB418" s="242"/>
      <c r="AC418" s="242"/>
      <c r="AD418" s="242"/>
      <c r="AE418" s="242"/>
      <c r="AF418" s="242"/>
      <c r="AG418" s="242"/>
      <c r="AH418" s="242"/>
      <c r="AI418" s="242"/>
      <c r="AJ418" s="242"/>
      <c r="AK418" s="242"/>
      <c r="AL418" s="242"/>
      <c r="AM418" s="242"/>
      <c r="AN418" s="241"/>
      <c r="AO418" s="242"/>
      <c r="AP418" s="242"/>
      <c r="AQ418" s="242"/>
      <c r="AR418" s="242"/>
      <c r="AS418" s="242"/>
      <c r="AT418" s="242"/>
      <c r="AU418" s="242"/>
      <c r="AV418" s="242"/>
      <c r="AW418" s="242"/>
      <c r="AX418" s="242"/>
      <c r="AY418" s="242"/>
      <c r="AZ418" s="242"/>
      <c r="BA418" s="242"/>
      <c r="BB418" s="237"/>
      <c r="BC418" s="242"/>
      <c r="BD418" s="242"/>
      <c r="BE418" s="242"/>
      <c r="BF418" s="242"/>
      <c r="BG418" s="242"/>
      <c r="BH418" s="242"/>
      <c r="BI418" s="242"/>
      <c r="BJ418" s="242"/>
      <c r="BK418" s="242"/>
      <c r="BL418" s="242"/>
      <c r="BM418" s="242"/>
      <c r="BN418" s="242"/>
      <c r="BO418" s="242"/>
      <c r="BP418" s="242"/>
    </row>
    <row r="419" spans="1:68" ht="14.25" hidden="1" customHeight="1" outlineLevel="1">
      <c r="A419" s="233"/>
      <c r="B419" s="237"/>
      <c r="C419" s="237"/>
      <c r="D419" s="237"/>
      <c r="E419" s="242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34"/>
      <c r="T419" s="242"/>
      <c r="U419" s="242"/>
      <c r="V419" s="242"/>
      <c r="W419" s="242"/>
      <c r="X419" s="242"/>
      <c r="Y419" s="242"/>
      <c r="Z419" s="242"/>
      <c r="AA419" s="242"/>
      <c r="AB419" s="242"/>
      <c r="AC419" s="242"/>
      <c r="AD419" s="242"/>
      <c r="AE419" s="242"/>
      <c r="AF419" s="242"/>
      <c r="AG419" s="242"/>
      <c r="AH419" s="242"/>
      <c r="AI419" s="242"/>
      <c r="AJ419" s="242"/>
      <c r="AK419" s="242"/>
      <c r="AL419" s="242"/>
      <c r="AM419" s="242"/>
      <c r="AN419" s="241"/>
      <c r="AO419" s="242"/>
      <c r="AP419" s="242"/>
      <c r="AQ419" s="242"/>
      <c r="AR419" s="242"/>
      <c r="AS419" s="242"/>
      <c r="AT419" s="242"/>
      <c r="AU419" s="242"/>
      <c r="AV419" s="242"/>
      <c r="AW419" s="242"/>
      <c r="AX419" s="242"/>
      <c r="AY419" s="242"/>
      <c r="AZ419" s="242"/>
      <c r="BA419" s="242"/>
      <c r="BB419" s="237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</row>
    <row r="420" spans="1:68" ht="14.25" hidden="1" customHeight="1" outlineLevel="1">
      <c r="A420" s="233"/>
      <c r="B420" s="237"/>
      <c r="C420" s="237"/>
      <c r="D420" s="237"/>
      <c r="E420" s="242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34"/>
      <c r="T420" s="242"/>
      <c r="U420" s="242"/>
      <c r="V420" s="242"/>
      <c r="W420" s="242"/>
      <c r="X420" s="242"/>
      <c r="Y420" s="242"/>
      <c r="Z420" s="242"/>
      <c r="AA420" s="242"/>
      <c r="AB420" s="242"/>
      <c r="AC420" s="242"/>
      <c r="AD420" s="242"/>
      <c r="AE420" s="242"/>
      <c r="AF420" s="242"/>
      <c r="AG420" s="242"/>
      <c r="AH420" s="242"/>
      <c r="AI420" s="242"/>
      <c r="AJ420" s="242"/>
      <c r="AK420" s="242"/>
      <c r="AL420" s="242"/>
      <c r="AM420" s="242"/>
      <c r="AN420" s="241"/>
      <c r="AO420" s="242"/>
      <c r="AP420" s="242"/>
      <c r="AQ420" s="242"/>
      <c r="AR420" s="242"/>
      <c r="AS420" s="242"/>
      <c r="AT420" s="242"/>
      <c r="AU420" s="242"/>
      <c r="AV420" s="242"/>
      <c r="AW420" s="242"/>
      <c r="AX420" s="242"/>
      <c r="AY420" s="242"/>
      <c r="AZ420" s="242"/>
      <c r="BA420" s="242"/>
      <c r="BB420" s="237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  <c r="BM420" s="242"/>
      <c r="BN420" s="242"/>
      <c r="BO420" s="242"/>
      <c r="BP420" s="242"/>
    </row>
    <row r="421" spans="1:68" ht="14.25" hidden="1" customHeight="1" outlineLevel="1">
      <c r="A421" s="233"/>
      <c r="B421" s="237"/>
      <c r="C421" s="237"/>
      <c r="D421" s="237"/>
      <c r="E421" s="242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34"/>
      <c r="T421" s="242"/>
      <c r="U421" s="242"/>
      <c r="V421" s="242"/>
      <c r="W421" s="242"/>
      <c r="X421" s="242"/>
      <c r="Y421" s="242"/>
      <c r="Z421" s="242"/>
      <c r="AA421" s="242"/>
      <c r="AB421" s="242"/>
      <c r="AC421" s="242"/>
      <c r="AD421" s="242"/>
      <c r="AE421" s="242"/>
      <c r="AF421" s="242"/>
      <c r="AG421" s="242"/>
      <c r="AH421" s="242"/>
      <c r="AI421" s="242"/>
      <c r="AJ421" s="242"/>
      <c r="AK421" s="242"/>
      <c r="AL421" s="242"/>
      <c r="AM421" s="242"/>
      <c r="AN421" s="241"/>
      <c r="AO421" s="242"/>
      <c r="AP421" s="242"/>
      <c r="AQ421" s="242"/>
      <c r="AR421" s="242"/>
      <c r="AS421" s="242"/>
      <c r="AT421" s="242"/>
      <c r="AU421" s="242"/>
      <c r="AV421" s="242"/>
      <c r="AW421" s="242"/>
      <c r="AX421" s="242"/>
      <c r="AY421" s="242"/>
      <c r="AZ421" s="242"/>
      <c r="BA421" s="242"/>
      <c r="BB421" s="237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  <c r="BM421" s="242"/>
      <c r="BN421" s="242"/>
      <c r="BO421" s="242"/>
      <c r="BP421" s="242"/>
    </row>
    <row r="422" spans="1:68" ht="14.25" hidden="1" customHeight="1" outlineLevel="1">
      <c r="A422" s="233"/>
      <c r="B422" s="237"/>
      <c r="C422" s="237"/>
      <c r="D422" s="237"/>
      <c r="E422" s="242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34"/>
      <c r="T422" s="242"/>
      <c r="U422" s="242"/>
      <c r="V422" s="242"/>
      <c r="W422" s="242"/>
      <c r="X422" s="242"/>
      <c r="Y422" s="242"/>
      <c r="Z422" s="242"/>
      <c r="AA422" s="242"/>
      <c r="AB422" s="242"/>
      <c r="AC422" s="242"/>
      <c r="AD422" s="242"/>
      <c r="AE422" s="242"/>
      <c r="AF422" s="242"/>
      <c r="AG422" s="242"/>
      <c r="AH422" s="242"/>
      <c r="AI422" s="242"/>
      <c r="AJ422" s="242"/>
      <c r="AK422" s="242"/>
      <c r="AL422" s="242"/>
      <c r="AM422" s="242"/>
      <c r="AN422" s="241"/>
      <c r="AO422" s="242"/>
      <c r="AP422" s="242"/>
      <c r="AQ422" s="242"/>
      <c r="AR422" s="242"/>
      <c r="AS422" s="242"/>
      <c r="AT422" s="242"/>
      <c r="AU422" s="242"/>
      <c r="AV422" s="242"/>
      <c r="AW422" s="242"/>
      <c r="AX422" s="242"/>
      <c r="AY422" s="242"/>
      <c r="AZ422" s="242"/>
      <c r="BA422" s="242"/>
      <c r="BB422" s="237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  <c r="BM422" s="242"/>
      <c r="BN422" s="242"/>
      <c r="BO422" s="242"/>
      <c r="BP422" s="242"/>
    </row>
    <row r="423" spans="1:68" ht="14.25" hidden="1" customHeight="1" outlineLevel="1">
      <c r="A423" s="233"/>
      <c r="B423" s="237"/>
      <c r="C423" s="237"/>
      <c r="D423" s="237"/>
      <c r="E423" s="242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34"/>
      <c r="T423" s="242"/>
      <c r="U423" s="242"/>
      <c r="V423" s="242"/>
      <c r="W423" s="242"/>
      <c r="X423" s="242"/>
      <c r="Y423" s="242"/>
      <c r="Z423" s="242"/>
      <c r="AA423" s="242"/>
      <c r="AB423" s="242"/>
      <c r="AC423" s="242"/>
      <c r="AD423" s="242"/>
      <c r="AE423" s="242"/>
      <c r="AF423" s="242"/>
      <c r="AG423" s="242"/>
      <c r="AH423" s="242"/>
      <c r="AI423" s="242"/>
      <c r="AJ423" s="242"/>
      <c r="AK423" s="242"/>
      <c r="AL423" s="242"/>
      <c r="AM423" s="242"/>
      <c r="AN423" s="241"/>
      <c r="AO423" s="242"/>
      <c r="AP423" s="242"/>
      <c r="AQ423" s="242"/>
      <c r="AR423" s="242"/>
      <c r="AS423" s="242"/>
      <c r="AT423" s="242"/>
      <c r="AU423" s="242"/>
      <c r="AV423" s="242"/>
      <c r="AW423" s="242"/>
      <c r="AX423" s="242"/>
      <c r="AY423" s="242"/>
      <c r="AZ423" s="242"/>
      <c r="BA423" s="242"/>
      <c r="BB423" s="237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  <c r="BM423" s="242"/>
      <c r="BN423" s="242"/>
      <c r="BO423" s="242"/>
      <c r="BP423" s="242"/>
    </row>
    <row r="424" spans="1:68" ht="14.25" hidden="1" customHeight="1" outlineLevel="1">
      <c r="A424" s="233"/>
      <c r="B424" s="237"/>
      <c r="C424" s="237"/>
      <c r="D424" s="237"/>
      <c r="E424" s="242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34"/>
      <c r="T424" s="242"/>
      <c r="U424" s="242"/>
      <c r="V424" s="242"/>
      <c r="W424" s="242"/>
      <c r="X424" s="242"/>
      <c r="Y424" s="242"/>
      <c r="Z424" s="242"/>
      <c r="AA424" s="242"/>
      <c r="AB424" s="242"/>
      <c r="AC424" s="242"/>
      <c r="AD424" s="242"/>
      <c r="AE424" s="242"/>
      <c r="AF424" s="242"/>
      <c r="AG424" s="242"/>
      <c r="AH424" s="242"/>
      <c r="AI424" s="242"/>
      <c r="AJ424" s="242"/>
      <c r="AK424" s="242"/>
      <c r="AL424" s="242"/>
      <c r="AM424" s="242"/>
      <c r="AN424" s="241"/>
      <c r="AO424" s="242"/>
      <c r="AP424" s="242"/>
      <c r="AQ424" s="242"/>
      <c r="AR424" s="242"/>
      <c r="AS424" s="242"/>
      <c r="AT424" s="242"/>
      <c r="AU424" s="242"/>
      <c r="AV424" s="242"/>
      <c r="AW424" s="242"/>
      <c r="AX424" s="242"/>
      <c r="AY424" s="242"/>
      <c r="AZ424" s="242"/>
      <c r="BA424" s="242"/>
      <c r="BB424" s="237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  <c r="BM424" s="242"/>
      <c r="BN424" s="242"/>
      <c r="BO424" s="242"/>
      <c r="BP424" s="242"/>
    </row>
    <row r="425" spans="1:68" ht="14.25" hidden="1" customHeight="1" outlineLevel="1">
      <c r="A425" s="233"/>
      <c r="B425" s="237"/>
      <c r="C425" s="237"/>
      <c r="D425" s="237"/>
      <c r="E425" s="242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34"/>
      <c r="T425" s="242"/>
      <c r="U425" s="242"/>
      <c r="V425" s="242"/>
      <c r="W425" s="242"/>
      <c r="X425" s="242"/>
      <c r="Y425" s="242"/>
      <c r="Z425" s="242"/>
      <c r="AA425" s="242"/>
      <c r="AB425" s="242"/>
      <c r="AC425" s="242"/>
      <c r="AD425" s="242"/>
      <c r="AE425" s="242"/>
      <c r="AF425" s="242"/>
      <c r="AG425" s="242"/>
      <c r="AH425" s="242"/>
      <c r="AI425" s="242"/>
      <c r="AJ425" s="242"/>
      <c r="AK425" s="242"/>
      <c r="AL425" s="242"/>
      <c r="AM425" s="242"/>
      <c r="AN425" s="241"/>
      <c r="AO425" s="242"/>
      <c r="AP425" s="242"/>
      <c r="AQ425" s="242"/>
      <c r="AR425" s="242"/>
      <c r="AS425" s="242"/>
      <c r="AT425" s="242"/>
      <c r="AU425" s="242"/>
      <c r="AV425" s="242"/>
      <c r="AW425" s="242"/>
      <c r="AX425" s="242"/>
      <c r="AY425" s="242"/>
      <c r="AZ425" s="242"/>
      <c r="BA425" s="242"/>
      <c r="BB425" s="237"/>
      <c r="BC425" s="242"/>
      <c r="BD425" s="242"/>
      <c r="BE425" s="242"/>
      <c r="BF425" s="242"/>
      <c r="BG425" s="242"/>
      <c r="BH425" s="242"/>
      <c r="BI425" s="242"/>
      <c r="BJ425" s="242"/>
      <c r="BK425" s="242"/>
      <c r="BL425" s="242"/>
      <c r="BM425" s="242"/>
      <c r="BN425" s="242"/>
      <c r="BO425" s="242"/>
      <c r="BP425" s="242"/>
    </row>
    <row r="426" spans="1:68" ht="14.25" hidden="1" customHeight="1" outlineLevel="1">
      <c r="A426" s="233"/>
      <c r="B426" s="237"/>
      <c r="C426" s="237"/>
      <c r="D426" s="237"/>
      <c r="E426" s="242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34"/>
      <c r="T426" s="242"/>
      <c r="U426" s="242"/>
      <c r="V426" s="242"/>
      <c r="W426" s="242"/>
      <c r="X426" s="242"/>
      <c r="Y426" s="242"/>
      <c r="Z426" s="242"/>
      <c r="AA426" s="242"/>
      <c r="AB426" s="242"/>
      <c r="AC426" s="242"/>
      <c r="AD426" s="242"/>
      <c r="AE426" s="242"/>
      <c r="AF426" s="242"/>
      <c r="AG426" s="242"/>
      <c r="AH426" s="242"/>
      <c r="AI426" s="242"/>
      <c r="AJ426" s="242"/>
      <c r="AK426" s="242"/>
      <c r="AL426" s="242"/>
      <c r="AM426" s="242"/>
      <c r="AN426" s="241"/>
      <c r="AO426" s="242"/>
      <c r="AP426" s="242"/>
      <c r="AQ426" s="242"/>
      <c r="AR426" s="242"/>
      <c r="AS426" s="242"/>
      <c r="AT426" s="242"/>
      <c r="AU426" s="242"/>
      <c r="AV426" s="242"/>
      <c r="AW426" s="242"/>
      <c r="AX426" s="242"/>
      <c r="AY426" s="242"/>
      <c r="AZ426" s="242"/>
      <c r="BA426" s="242"/>
      <c r="BB426" s="237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  <c r="BM426" s="242"/>
      <c r="BN426" s="242"/>
      <c r="BO426" s="242"/>
      <c r="BP426" s="242"/>
    </row>
    <row r="427" spans="1:68" ht="14.25" hidden="1" customHeight="1" outlineLevel="1">
      <c r="A427" s="233"/>
      <c r="B427" s="237"/>
      <c r="C427" s="237"/>
      <c r="D427" s="237"/>
      <c r="E427" s="242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34"/>
      <c r="T427" s="242"/>
      <c r="U427" s="242"/>
      <c r="V427" s="242"/>
      <c r="W427" s="242"/>
      <c r="X427" s="242"/>
      <c r="Y427" s="242"/>
      <c r="Z427" s="242"/>
      <c r="AA427" s="242"/>
      <c r="AB427" s="242"/>
      <c r="AC427" s="242"/>
      <c r="AD427" s="242"/>
      <c r="AE427" s="242"/>
      <c r="AF427" s="242"/>
      <c r="AG427" s="242"/>
      <c r="AH427" s="242"/>
      <c r="AI427" s="242"/>
      <c r="AJ427" s="242"/>
      <c r="AK427" s="242"/>
      <c r="AL427" s="242"/>
      <c r="AM427" s="242"/>
      <c r="AN427" s="241"/>
      <c r="AO427" s="242"/>
      <c r="AP427" s="242"/>
      <c r="AQ427" s="242"/>
      <c r="AR427" s="242"/>
      <c r="AS427" s="242"/>
      <c r="AT427" s="242"/>
      <c r="AU427" s="242"/>
      <c r="AV427" s="242"/>
      <c r="AW427" s="242"/>
      <c r="AX427" s="242"/>
      <c r="AY427" s="242"/>
      <c r="AZ427" s="242"/>
      <c r="BA427" s="242"/>
      <c r="BB427" s="237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  <c r="BM427" s="242"/>
      <c r="BN427" s="242"/>
      <c r="BO427" s="242"/>
      <c r="BP427" s="242"/>
    </row>
    <row r="428" spans="1:68" ht="14.25" hidden="1" customHeight="1" outlineLevel="1">
      <c r="A428" s="233"/>
      <c r="B428" s="237"/>
      <c r="C428" s="237"/>
      <c r="D428" s="237"/>
      <c r="E428" s="242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34"/>
      <c r="T428" s="242"/>
      <c r="U428" s="242"/>
      <c r="V428" s="242"/>
      <c r="W428" s="242"/>
      <c r="X428" s="242"/>
      <c r="Y428" s="242"/>
      <c r="Z428" s="242"/>
      <c r="AA428" s="242"/>
      <c r="AB428" s="242"/>
      <c r="AC428" s="242"/>
      <c r="AD428" s="242"/>
      <c r="AE428" s="242"/>
      <c r="AF428" s="242"/>
      <c r="AG428" s="242"/>
      <c r="AH428" s="242"/>
      <c r="AI428" s="242"/>
      <c r="AJ428" s="242"/>
      <c r="AK428" s="242"/>
      <c r="AL428" s="242"/>
      <c r="AM428" s="242"/>
      <c r="AN428" s="241"/>
      <c r="AO428" s="242"/>
      <c r="AP428" s="242"/>
      <c r="AQ428" s="242"/>
      <c r="AR428" s="242"/>
      <c r="AS428" s="242"/>
      <c r="AT428" s="242"/>
      <c r="AU428" s="242"/>
      <c r="AV428" s="242"/>
      <c r="AW428" s="242"/>
      <c r="AX428" s="242"/>
      <c r="AY428" s="242"/>
      <c r="AZ428" s="242"/>
      <c r="BA428" s="242"/>
      <c r="BB428" s="237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  <c r="BM428" s="242"/>
      <c r="BN428" s="242"/>
      <c r="BO428" s="242"/>
      <c r="BP428" s="242"/>
    </row>
    <row r="429" spans="1:68" ht="14.25" hidden="1" customHeight="1" outlineLevel="1">
      <c r="A429" s="233"/>
      <c r="B429" s="237"/>
      <c r="C429" s="237"/>
      <c r="D429" s="237"/>
      <c r="E429" s="242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34"/>
      <c r="T429" s="242"/>
      <c r="U429" s="242"/>
      <c r="V429" s="242"/>
      <c r="W429" s="242"/>
      <c r="X429" s="242"/>
      <c r="Y429" s="242"/>
      <c r="Z429" s="242"/>
      <c r="AA429" s="242"/>
      <c r="AB429" s="242"/>
      <c r="AC429" s="242"/>
      <c r="AD429" s="242"/>
      <c r="AE429" s="242"/>
      <c r="AF429" s="242"/>
      <c r="AG429" s="242"/>
      <c r="AH429" s="242"/>
      <c r="AI429" s="242"/>
      <c r="AJ429" s="242"/>
      <c r="AK429" s="242"/>
      <c r="AL429" s="242"/>
      <c r="AM429" s="242"/>
      <c r="AN429" s="241"/>
      <c r="AO429" s="242"/>
      <c r="AP429" s="242"/>
      <c r="AQ429" s="242"/>
      <c r="AR429" s="242"/>
      <c r="AS429" s="242"/>
      <c r="AT429" s="242"/>
      <c r="AU429" s="242"/>
      <c r="AV429" s="242"/>
      <c r="AW429" s="242"/>
      <c r="AX429" s="242"/>
      <c r="AY429" s="242"/>
      <c r="AZ429" s="242"/>
      <c r="BA429" s="242"/>
      <c r="BB429" s="237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  <c r="BM429" s="242"/>
      <c r="BN429" s="242"/>
      <c r="BO429" s="242"/>
      <c r="BP429" s="242"/>
    </row>
    <row r="430" spans="1:68" ht="14.25" hidden="1" customHeight="1" outlineLevel="1">
      <c r="A430" s="233"/>
      <c r="B430" s="237"/>
      <c r="C430" s="237"/>
      <c r="D430" s="237"/>
      <c r="E430" s="242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34"/>
      <c r="T430" s="242"/>
      <c r="U430" s="242"/>
      <c r="V430" s="242"/>
      <c r="W430" s="242"/>
      <c r="X430" s="242"/>
      <c r="Y430" s="242"/>
      <c r="Z430" s="242"/>
      <c r="AA430" s="242"/>
      <c r="AB430" s="242"/>
      <c r="AC430" s="242"/>
      <c r="AD430" s="242"/>
      <c r="AE430" s="242"/>
      <c r="AF430" s="242"/>
      <c r="AG430" s="242"/>
      <c r="AH430" s="242"/>
      <c r="AI430" s="242"/>
      <c r="AJ430" s="242"/>
      <c r="AK430" s="242"/>
      <c r="AL430" s="242"/>
      <c r="AM430" s="242"/>
      <c r="AN430" s="241"/>
      <c r="AO430" s="242"/>
      <c r="AP430" s="242"/>
      <c r="AQ430" s="242"/>
      <c r="AR430" s="242"/>
      <c r="AS430" s="242"/>
      <c r="AT430" s="242"/>
      <c r="AU430" s="242"/>
      <c r="AV430" s="242"/>
      <c r="AW430" s="242"/>
      <c r="AX430" s="242"/>
      <c r="AY430" s="242"/>
      <c r="AZ430" s="242"/>
      <c r="BA430" s="242"/>
      <c r="BB430" s="237"/>
      <c r="BC430" s="242"/>
      <c r="BD430" s="242"/>
      <c r="BE430" s="242"/>
      <c r="BF430" s="242"/>
      <c r="BG430" s="242"/>
      <c r="BH430" s="242"/>
      <c r="BI430" s="242"/>
      <c r="BJ430" s="242"/>
      <c r="BK430" s="242"/>
      <c r="BL430" s="242"/>
      <c r="BM430" s="242"/>
      <c r="BN430" s="242"/>
      <c r="BO430" s="242"/>
      <c r="BP430" s="242"/>
    </row>
    <row r="431" spans="1:68" ht="14.25" hidden="1" customHeight="1" outlineLevel="1">
      <c r="A431" s="233"/>
      <c r="B431" s="237"/>
      <c r="C431" s="237"/>
      <c r="D431" s="237"/>
      <c r="E431" s="242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34"/>
      <c r="T431" s="242"/>
      <c r="U431" s="242"/>
      <c r="V431" s="242"/>
      <c r="W431" s="242"/>
      <c r="X431" s="242"/>
      <c r="Y431" s="242"/>
      <c r="Z431" s="242"/>
      <c r="AA431" s="242"/>
      <c r="AB431" s="242"/>
      <c r="AC431" s="242"/>
      <c r="AD431" s="242"/>
      <c r="AE431" s="242"/>
      <c r="AF431" s="242"/>
      <c r="AG431" s="242"/>
      <c r="AH431" s="242"/>
      <c r="AI431" s="242"/>
      <c r="AJ431" s="242"/>
      <c r="AK431" s="242"/>
      <c r="AL431" s="242"/>
      <c r="AM431" s="242"/>
      <c r="AN431" s="241"/>
      <c r="AO431" s="242"/>
      <c r="AP431" s="242"/>
      <c r="AQ431" s="242"/>
      <c r="AR431" s="242"/>
      <c r="AS431" s="242"/>
      <c r="AT431" s="242"/>
      <c r="AU431" s="242"/>
      <c r="AV431" s="242"/>
      <c r="AW431" s="242"/>
      <c r="AX431" s="242"/>
      <c r="AY431" s="242"/>
      <c r="AZ431" s="242"/>
      <c r="BA431" s="242"/>
      <c r="BB431" s="237"/>
      <c r="BC431" s="242"/>
      <c r="BD431" s="242"/>
      <c r="BE431" s="242"/>
      <c r="BF431" s="242"/>
      <c r="BG431" s="242"/>
      <c r="BH431" s="242"/>
      <c r="BI431" s="242"/>
      <c r="BJ431" s="242"/>
      <c r="BK431" s="242"/>
      <c r="BL431" s="242"/>
      <c r="BM431" s="242"/>
      <c r="BN431" s="242"/>
      <c r="BO431" s="242"/>
      <c r="BP431" s="242"/>
    </row>
    <row r="432" spans="1:68" ht="14.25" hidden="1" customHeight="1" outlineLevel="1">
      <c r="A432" s="233"/>
      <c r="B432" s="237"/>
      <c r="C432" s="237"/>
      <c r="D432" s="237"/>
      <c r="E432" s="242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34"/>
      <c r="T432" s="242"/>
      <c r="U432" s="242"/>
      <c r="V432" s="242"/>
      <c r="W432" s="242"/>
      <c r="X432" s="242"/>
      <c r="Y432" s="242"/>
      <c r="Z432" s="242"/>
      <c r="AA432" s="242"/>
      <c r="AB432" s="242"/>
      <c r="AC432" s="242"/>
      <c r="AD432" s="242"/>
      <c r="AE432" s="242"/>
      <c r="AF432" s="242"/>
      <c r="AG432" s="242"/>
      <c r="AH432" s="242"/>
      <c r="AI432" s="242"/>
      <c r="AJ432" s="242"/>
      <c r="AK432" s="242"/>
      <c r="AL432" s="242"/>
      <c r="AM432" s="242"/>
      <c r="AN432" s="241"/>
      <c r="AO432" s="242"/>
      <c r="AP432" s="242"/>
      <c r="AQ432" s="242"/>
      <c r="AR432" s="242"/>
      <c r="AS432" s="242"/>
      <c r="AT432" s="242"/>
      <c r="AU432" s="242"/>
      <c r="AV432" s="242"/>
      <c r="AW432" s="242"/>
      <c r="AX432" s="242"/>
      <c r="AY432" s="242"/>
      <c r="AZ432" s="242"/>
      <c r="BA432" s="242"/>
      <c r="BB432" s="237"/>
      <c r="BC432" s="242"/>
      <c r="BD432" s="242"/>
      <c r="BE432" s="242"/>
      <c r="BF432" s="242"/>
      <c r="BG432" s="242"/>
      <c r="BH432" s="242"/>
      <c r="BI432" s="242"/>
      <c r="BJ432" s="242"/>
      <c r="BK432" s="242"/>
      <c r="BL432" s="242"/>
      <c r="BM432" s="242"/>
      <c r="BN432" s="242"/>
      <c r="BO432" s="242"/>
      <c r="BP432" s="242"/>
    </row>
    <row r="433" spans="1:68" ht="14.25" hidden="1" customHeight="1" outlineLevel="1">
      <c r="A433" s="233"/>
      <c r="B433" s="237"/>
      <c r="C433" s="237"/>
      <c r="D433" s="237"/>
      <c r="E433" s="242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34"/>
      <c r="T433" s="242"/>
      <c r="U433" s="242"/>
      <c r="V433" s="242"/>
      <c r="W433" s="242"/>
      <c r="X433" s="242"/>
      <c r="Y433" s="242"/>
      <c r="Z433" s="242"/>
      <c r="AA433" s="242"/>
      <c r="AB433" s="242"/>
      <c r="AC433" s="242"/>
      <c r="AD433" s="242"/>
      <c r="AE433" s="242"/>
      <c r="AF433" s="242"/>
      <c r="AG433" s="242"/>
      <c r="AH433" s="242"/>
      <c r="AI433" s="242"/>
      <c r="AJ433" s="242"/>
      <c r="AK433" s="242"/>
      <c r="AL433" s="242"/>
      <c r="AM433" s="242"/>
      <c r="AN433" s="241"/>
      <c r="AO433" s="242"/>
      <c r="AP433" s="242"/>
      <c r="AQ433" s="242"/>
      <c r="AR433" s="242"/>
      <c r="AS433" s="242"/>
      <c r="AT433" s="242"/>
      <c r="AU433" s="242"/>
      <c r="AV433" s="242"/>
      <c r="AW433" s="242"/>
      <c r="AX433" s="242"/>
      <c r="AY433" s="242"/>
      <c r="AZ433" s="242"/>
      <c r="BA433" s="242"/>
      <c r="BB433" s="237"/>
      <c r="BC433" s="242"/>
      <c r="BD433" s="242"/>
      <c r="BE433" s="242"/>
      <c r="BF433" s="242"/>
      <c r="BG433" s="242"/>
      <c r="BH433" s="242"/>
      <c r="BI433" s="242"/>
      <c r="BJ433" s="242"/>
      <c r="BK433" s="242"/>
      <c r="BL433" s="242"/>
      <c r="BM433" s="242"/>
      <c r="BN433" s="242"/>
      <c r="BO433" s="242"/>
      <c r="BP433" s="242"/>
    </row>
    <row r="434" spans="1:68" ht="14.25" hidden="1" customHeight="1" outlineLevel="1">
      <c r="A434" s="233"/>
      <c r="B434" s="237"/>
      <c r="C434" s="237"/>
      <c r="D434" s="237"/>
      <c r="E434" s="242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34"/>
      <c r="T434" s="242"/>
      <c r="U434" s="242"/>
      <c r="V434" s="242"/>
      <c r="W434" s="242"/>
      <c r="X434" s="242"/>
      <c r="Y434" s="242"/>
      <c r="Z434" s="242"/>
      <c r="AA434" s="242"/>
      <c r="AB434" s="242"/>
      <c r="AC434" s="242"/>
      <c r="AD434" s="242"/>
      <c r="AE434" s="242"/>
      <c r="AF434" s="242"/>
      <c r="AG434" s="242"/>
      <c r="AH434" s="242"/>
      <c r="AI434" s="242"/>
      <c r="AJ434" s="242"/>
      <c r="AK434" s="242"/>
      <c r="AL434" s="242"/>
      <c r="AM434" s="242"/>
      <c r="AN434" s="241"/>
      <c r="AO434" s="242"/>
      <c r="AP434" s="242"/>
      <c r="AQ434" s="242"/>
      <c r="AR434" s="242"/>
      <c r="AS434" s="242"/>
      <c r="AT434" s="242"/>
      <c r="AU434" s="242"/>
      <c r="AV434" s="242"/>
      <c r="AW434" s="242"/>
      <c r="AX434" s="242"/>
      <c r="AY434" s="242"/>
      <c r="AZ434" s="242"/>
      <c r="BA434" s="242"/>
      <c r="BB434" s="237"/>
      <c r="BC434" s="242"/>
      <c r="BD434" s="242"/>
      <c r="BE434" s="242"/>
      <c r="BF434" s="242"/>
      <c r="BG434" s="242"/>
      <c r="BH434" s="242"/>
      <c r="BI434" s="242"/>
      <c r="BJ434" s="242"/>
      <c r="BK434" s="242"/>
      <c r="BL434" s="242"/>
      <c r="BM434" s="242"/>
      <c r="BN434" s="242"/>
      <c r="BO434" s="242"/>
      <c r="BP434" s="242"/>
    </row>
    <row r="435" spans="1:68" ht="14.25" hidden="1" customHeight="1" outlineLevel="1">
      <c r="A435" s="233"/>
      <c r="B435" s="237"/>
      <c r="C435" s="237"/>
      <c r="D435" s="237"/>
      <c r="E435" s="242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34"/>
      <c r="T435" s="242"/>
      <c r="U435" s="242"/>
      <c r="V435" s="242"/>
      <c r="W435" s="242"/>
      <c r="X435" s="242"/>
      <c r="Y435" s="242"/>
      <c r="Z435" s="242"/>
      <c r="AA435" s="242"/>
      <c r="AB435" s="242"/>
      <c r="AC435" s="242"/>
      <c r="AD435" s="242"/>
      <c r="AE435" s="242"/>
      <c r="AF435" s="242"/>
      <c r="AG435" s="242"/>
      <c r="AH435" s="242"/>
      <c r="AI435" s="242"/>
      <c r="AJ435" s="242"/>
      <c r="AK435" s="242"/>
      <c r="AL435" s="242"/>
      <c r="AM435" s="242"/>
      <c r="AN435" s="241"/>
      <c r="AO435" s="242"/>
      <c r="AP435" s="242"/>
      <c r="AQ435" s="242"/>
      <c r="AR435" s="242"/>
      <c r="AS435" s="242"/>
      <c r="AT435" s="242"/>
      <c r="AU435" s="242"/>
      <c r="AV435" s="242"/>
      <c r="AW435" s="242"/>
      <c r="AX435" s="242"/>
      <c r="AY435" s="242"/>
      <c r="AZ435" s="242"/>
      <c r="BA435" s="242"/>
      <c r="BB435" s="237"/>
      <c r="BC435" s="242"/>
      <c r="BD435" s="242"/>
      <c r="BE435" s="242"/>
      <c r="BF435" s="242"/>
      <c r="BG435" s="242"/>
      <c r="BH435" s="242"/>
      <c r="BI435" s="242"/>
      <c r="BJ435" s="242"/>
      <c r="BK435" s="242"/>
      <c r="BL435" s="242"/>
      <c r="BM435" s="242"/>
      <c r="BN435" s="242"/>
      <c r="BO435" s="242"/>
      <c r="BP435" s="242"/>
    </row>
    <row r="436" spans="1:68" ht="14.25" hidden="1" customHeight="1" outlineLevel="1">
      <c r="A436" s="233"/>
      <c r="B436" s="237"/>
      <c r="C436" s="237"/>
      <c r="D436" s="237"/>
      <c r="E436" s="242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34"/>
      <c r="T436" s="242"/>
      <c r="U436" s="242"/>
      <c r="V436" s="242"/>
      <c r="W436" s="242"/>
      <c r="X436" s="242"/>
      <c r="Y436" s="242"/>
      <c r="Z436" s="242"/>
      <c r="AA436" s="242"/>
      <c r="AB436" s="242"/>
      <c r="AC436" s="242"/>
      <c r="AD436" s="242"/>
      <c r="AE436" s="242"/>
      <c r="AF436" s="242"/>
      <c r="AG436" s="242"/>
      <c r="AH436" s="242"/>
      <c r="AI436" s="242"/>
      <c r="AJ436" s="242"/>
      <c r="AK436" s="242"/>
      <c r="AL436" s="242"/>
      <c r="AM436" s="242"/>
      <c r="AN436" s="241"/>
      <c r="AO436" s="242"/>
      <c r="AP436" s="242"/>
      <c r="AQ436" s="242"/>
      <c r="AR436" s="242"/>
      <c r="AS436" s="242"/>
      <c r="AT436" s="242"/>
      <c r="AU436" s="242"/>
      <c r="AV436" s="242"/>
      <c r="AW436" s="242"/>
      <c r="AX436" s="242"/>
      <c r="AY436" s="242"/>
      <c r="AZ436" s="242"/>
      <c r="BA436" s="242"/>
      <c r="BB436" s="237"/>
      <c r="BC436" s="242"/>
      <c r="BD436" s="242"/>
      <c r="BE436" s="242"/>
      <c r="BF436" s="242"/>
      <c r="BG436" s="242"/>
      <c r="BH436" s="242"/>
      <c r="BI436" s="242"/>
      <c r="BJ436" s="242"/>
      <c r="BK436" s="242"/>
      <c r="BL436" s="242"/>
      <c r="BM436" s="242"/>
      <c r="BN436" s="242"/>
      <c r="BO436" s="242"/>
      <c r="BP436" s="242"/>
    </row>
    <row r="437" spans="1:68" ht="14.25" hidden="1" customHeight="1" outlineLevel="1">
      <c r="A437" s="233"/>
      <c r="B437" s="237"/>
      <c r="C437" s="237"/>
      <c r="D437" s="237"/>
      <c r="E437" s="242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34"/>
      <c r="T437" s="242"/>
      <c r="U437" s="242"/>
      <c r="V437" s="242"/>
      <c r="W437" s="242"/>
      <c r="X437" s="242"/>
      <c r="Y437" s="242"/>
      <c r="Z437" s="242"/>
      <c r="AA437" s="242"/>
      <c r="AB437" s="242"/>
      <c r="AC437" s="242"/>
      <c r="AD437" s="242"/>
      <c r="AE437" s="242"/>
      <c r="AF437" s="242"/>
      <c r="AG437" s="242"/>
      <c r="AH437" s="242"/>
      <c r="AI437" s="242"/>
      <c r="AJ437" s="242"/>
      <c r="AK437" s="242"/>
      <c r="AL437" s="242"/>
      <c r="AM437" s="242"/>
      <c r="AN437" s="241"/>
      <c r="AO437" s="242"/>
      <c r="AP437" s="242"/>
      <c r="AQ437" s="242"/>
      <c r="AR437" s="242"/>
      <c r="AS437" s="242"/>
      <c r="AT437" s="242"/>
      <c r="AU437" s="242"/>
      <c r="AV437" s="242"/>
      <c r="AW437" s="242"/>
      <c r="AX437" s="242"/>
      <c r="AY437" s="242"/>
      <c r="AZ437" s="242"/>
      <c r="BA437" s="242"/>
      <c r="BB437" s="237"/>
      <c r="BC437" s="242"/>
      <c r="BD437" s="242"/>
      <c r="BE437" s="242"/>
      <c r="BF437" s="242"/>
      <c r="BG437" s="242"/>
      <c r="BH437" s="242"/>
      <c r="BI437" s="242"/>
      <c r="BJ437" s="242"/>
      <c r="BK437" s="242"/>
      <c r="BL437" s="242"/>
      <c r="BM437" s="242"/>
      <c r="BN437" s="242"/>
      <c r="BO437" s="242"/>
      <c r="BP437" s="242"/>
    </row>
    <row r="438" spans="1:68" ht="14.25" hidden="1" customHeight="1" outlineLevel="1">
      <c r="A438" s="233"/>
      <c r="B438" s="237"/>
      <c r="C438" s="237"/>
      <c r="D438" s="237"/>
      <c r="E438" s="242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34"/>
      <c r="T438" s="242"/>
      <c r="U438" s="242"/>
      <c r="V438" s="242"/>
      <c r="W438" s="242"/>
      <c r="X438" s="242"/>
      <c r="Y438" s="242"/>
      <c r="Z438" s="242"/>
      <c r="AA438" s="242"/>
      <c r="AB438" s="242"/>
      <c r="AC438" s="242"/>
      <c r="AD438" s="242"/>
      <c r="AE438" s="242"/>
      <c r="AF438" s="242"/>
      <c r="AG438" s="242"/>
      <c r="AH438" s="242"/>
      <c r="AI438" s="242"/>
      <c r="AJ438" s="242"/>
      <c r="AK438" s="242"/>
      <c r="AL438" s="242"/>
      <c r="AM438" s="242"/>
      <c r="AN438" s="241"/>
      <c r="AO438" s="242"/>
      <c r="AP438" s="242"/>
      <c r="AQ438" s="242"/>
      <c r="AR438" s="242"/>
      <c r="AS438" s="242"/>
      <c r="AT438" s="242"/>
      <c r="AU438" s="242"/>
      <c r="AV438" s="242"/>
      <c r="AW438" s="242"/>
      <c r="AX438" s="242"/>
      <c r="AY438" s="242"/>
      <c r="AZ438" s="242"/>
      <c r="BA438" s="242"/>
      <c r="BB438" s="237"/>
      <c r="BC438" s="242"/>
      <c r="BD438" s="242"/>
      <c r="BE438" s="242"/>
      <c r="BF438" s="242"/>
      <c r="BG438" s="242"/>
      <c r="BH438" s="242"/>
      <c r="BI438" s="242"/>
      <c r="BJ438" s="242"/>
      <c r="BK438" s="242"/>
      <c r="BL438" s="242"/>
      <c r="BM438" s="242"/>
      <c r="BN438" s="242"/>
      <c r="BO438" s="242"/>
      <c r="BP438" s="242"/>
    </row>
    <row r="439" spans="1:68" ht="14.25" hidden="1" customHeight="1" outlineLevel="1">
      <c r="A439" s="233"/>
      <c r="B439" s="237"/>
      <c r="C439" s="237"/>
      <c r="D439" s="237"/>
      <c r="E439" s="242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34"/>
      <c r="T439" s="242"/>
      <c r="U439" s="242"/>
      <c r="V439" s="242"/>
      <c r="W439" s="242"/>
      <c r="X439" s="242"/>
      <c r="Y439" s="242"/>
      <c r="Z439" s="242"/>
      <c r="AA439" s="242"/>
      <c r="AB439" s="242"/>
      <c r="AC439" s="242"/>
      <c r="AD439" s="242"/>
      <c r="AE439" s="242"/>
      <c r="AF439" s="242"/>
      <c r="AG439" s="242"/>
      <c r="AH439" s="242"/>
      <c r="AI439" s="242"/>
      <c r="AJ439" s="242"/>
      <c r="AK439" s="242"/>
      <c r="AL439" s="242"/>
      <c r="AM439" s="242"/>
      <c r="AN439" s="241"/>
      <c r="AO439" s="242"/>
      <c r="AP439" s="242"/>
      <c r="AQ439" s="242"/>
      <c r="AR439" s="242"/>
      <c r="AS439" s="242"/>
      <c r="AT439" s="242"/>
      <c r="AU439" s="242"/>
      <c r="AV439" s="242"/>
      <c r="AW439" s="242"/>
      <c r="AX439" s="242"/>
      <c r="AY439" s="242"/>
      <c r="AZ439" s="242"/>
      <c r="BA439" s="242"/>
      <c r="BB439" s="237"/>
      <c r="BC439" s="242"/>
      <c r="BD439" s="242"/>
      <c r="BE439" s="242"/>
      <c r="BF439" s="242"/>
      <c r="BG439" s="242"/>
      <c r="BH439" s="242"/>
      <c r="BI439" s="242"/>
      <c r="BJ439" s="242"/>
      <c r="BK439" s="242"/>
      <c r="BL439" s="242"/>
      <c r="BM439" s="242"/>
      <c r="BN439" s="242"/>
      <c r="BO439" s="242"/>
      <c r="BP439" s="242"/>
    </row>
    <row r="440" spans="1:68" ht="14.25" hidden="1" customHeight="1" outlineLevel="1">
      <c r="A440" s="233"/>
      <c r="B440" s="237"/>
      <c r="C440" s="237"/>
      <c r="D440" s="237"/>
      <c r="E440" s="242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34"/>
      <c r="T440" s="242"/>
      <c r="U440" s="242"/>
      <c r="V440" s="242"/>
      <c r="W440" s="242"/>
      <c r="X440" s="242"/>
      <c r="Y440" s="242"/>
      <c r="Z440" s="242"/>
      <c r="AA440" s="242"/>
      <c r="AB440" s="242"/>
      <c r="AC440" s="242"/>
      <c r="AD440" s="242"/>
      <c r="AE440" s="242"/>
      <c r="AF440" s="242"/>
      <c r="AG440" s="242"/>
      <c r="AH440" s="242"/>
      <c r="AI440" s="242"/>
      <c r="AJ440" s="242"/>
      <c r="AK440" s="242"/>
      <c r="AL440" s="242"/>
      <c r="AM440" s="242"/>
      <c r="AN440" s="241"/>
      <c r="AO440" s="242"/>
      <c r="AP440" s="242"/>
      <c r="AQ440" s="242"/>
      <c r="AR440" s="242"/>
      <c r="AS440" s="242"/>
      <c r="AT440" s="242"/>
      <c r="AU440" s="242"/>
      <c r="AV440" s="242"/>
      <c r="AW440" s="242"/>
      <c r="AX440" s="242"/>
      <c r="AY440" s="242"/>
      <c r="AZ440" s="242"/>
      <c r="BA440" s="242"/>
      <c r="BB440" s="237"/>
      <c r="BC440" s="242"/>
      <c r="BD440" s="242"/>
      <c r="BE440" s="242"/>
      <c r="BF440" s="242"/>
      <c r="BG440" s="242"/>
      <c r="BH440" s="242"/>
      <c r="BI440" s="242"/>
      <c r="BJ440" s="242"/>
      <c r="BK440" s="242"/>
      <c r="BL440" s="242"/>
      <c r="BM440" s="242"/>
      <c r="BN440" s="242"/>
      <c r="BO440" s="242"/>
      <c r="BP440" s="242"/>
    </row>
    <row r="441" spans="1:68" ht="14.25" hidden="1" customHeight="1" outlineLevel="1">
      <c r="A441" s="233"/>
      <c r="B441" s="237"/>
      <c r="C441" s="237"/>
      <c r="D441" s="237"/>
      <c r="E441" s="242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34"/>
      <c r="T441" s="242"/>
      <c r="U441" s="242"/>
      <c r="V441" s="242"/>
      <c r="W441" s="242"/>
      <c r="X441" s="242"/>
      <c r="Y441" s="242"/>
      <c r="Z441" s="242"/>
      <c r="AA441" s="242"/>
      <c r="AB441" s="242"/>
      <c r="AC441" s="242"/>
      <c r="AD441" s="242"/>
      <c r="AE441" s="242"/>
      <c r="AF441" s="242"/>
      <c r="AG441" s="242"/>
      <c r="AH441" s="242"/>
      <c r="AI441" s="242"/>
      <c r="AJ441" s="242"/>
      <c r="AK441" s="242"/>
      <c r="AL441" s="242"/>
      <c r="AM441" s="242"/>
      <c r="AN441" s="241"/>
      <c r="AO441" s="242"/>
      <c r="AP441" s="242"/>
      <c r="AQ441" s="242"/>
      <c r="AR441" s="242"/>
      <c r="AS441" s="242"/>
      <c r="AT441" s="242"/>
      <c r="AU441" s="242"/>
      <c r="AV441" s="242"/>
      <c r="AW441" s="242"/>
      <c r="AX441" s="242"/>
      <c r="AY441" s="242"/>
      <c r="AZ441" s="242"/>
      <c r="BA441" s="242"/>
      <c r="BB441" s="237"/>
      <c r="BC441" s="242"/>
      <c r="BD441" s="242"/>
      <c r="BE441" s="242"/>
      <c r="BF441" s="242"/>
      <c r="BG441" s="242"/>
      <c r="BH441" s="242"/>
      <c r="BI441" s="242"/>
      <c r="BJ441" s="242"/>
      <c r="BK441" s="242"/>
      <c r="BL441" s="242"/>
      <c r="BM441" s="242"/>
      <c r="BN441" s="242"/>
      <c r="BO441" s="242"/>
      <c r="BP441" s="242"/>
    </row>
    <row r="442" spans="1:68" ht="14.25" hidden="1" customHeight="1" outlineLevel="1">
      <c r="A442" s="233"/>
      <c r="B442" s="237"/>
      <c r="C442" s="237"/>
      <c r="D442" s="237"/>
      <c r="E442" s="242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34"/>
      <c r="T442" s="242"/>
      <c r="U442" s="242"/>
      <c r="V442" s="242"/>
      <c r="W442" s="242"/>
      <c r="X442" s="242"/>
      <c r="Y442" s="242"/>
      <c r="Z442" s="242"/>
      <c r="AA442" s="242"/>
      <c r="AB442" s="242"/>
      <c r="AC442" s="242"/>
      <c r="AD442" s="242"/>
      <c r="AE442" s="242"/>
      <c r="AF442" s="242"/>
      <c r="AG442" s="242"/>
      <c r="AH442" s="242"/>
      <c r="AI442" s="242"/>
      <c r="AJ442" s="242"/>
      <c r="AK442" s="242"/>
      <c r="AL442" s="242"/>
      <c r="AM442" s="242"/>
      <c r="AN442" s="241"/>
      <c r="AO442" s="242"/>
      <c r="AP442" s="242"/>
      <c r="AQ442" s="242"/>
      <c r="AR442" s="242"/>
      <c r="AS442" s="242"/>
      <c r="AT442" s="242"/>
      <c r="AU442" s="242"/>
      <c r="AV442" s="242"/>
      <c r="AW442" s="242"/>
      <c r="AX442" s="242"/>
      <c r="AY442" s="242"/>
      <c r="AZ442" s="242"/>
      <c r="BA442" s="242"/>
      <c r="BB442" s="237"/>
      <c r="BC442" s="242"/>
      <c r="BD442" s="242"/>
      <c r="BE442" s="242"/>
      <c r="BF442" s="242"/>
      <c r="BG442" s="242"/>
      <c r="BH442" s="242"/>
      <c r="BI442" s="242"/>
      <c r="BJ442" s="242"/>
      <c r="BK442" s="242"/>
      <c r="BL442" s="242"/>
      <c r="BM442" s="242"/>
      <c r="BN442" s="242"/>
      <c r="BO442" s="242"/>
      <c r="BP442" s="242"/>
    </row>
    <row r="443" spans="1:68" ht="14.25" hidden="1" customHeight="1" outlineLevel="1">
      <c r="A443" s="233"/>
      <c r="B443" s="237"/>
      <c r="C443" s="237"/>
      <c r="D443" s="237"/>
      <c r="E443" s="242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34"/>
      <c r="T443" s="242"/>
      <c r="U443" s="242"/>
      <c r="V443" s="242"/>
      <c r="W443" s="242"/>
      <c r="X443" s="242"/>
      <c r="Y443" s="242"/>
      <c r="Z443" s="242"/>
      <c r="AA443" s="242"/>
      <c r="AB443" s="242"/>
      <c r="AC443" s="242"/>
      <c r="AD443" s="242"/>
      <c r="AE443" s="242"/>
      <c r="AF443" s="242"/>
      <c r="AG443" s="242"/>
      <c r="AH443" s="242"/>
      <c r="AI443" s="242"/>
      <c r="AJ443" s="242"/>
      <c r="AK443" s="242"/>
      <c r="AL443" s="242"/>
      <c r="AM443" s="242"/>
      <c r="AN443" s="241"/>
      <c r="AO443" s="242"/>
      <c r="AP443" s="242"/>
      <c r="AQ443" s="242"/>
      <c r="AR443" s="242"/>
      <c r="AS443" s="242"/>
      <c r="AT443" s="242"/>
      <c r="AU443" s="242"/>
      <c r="AV443" s="242"/>
      <c r="AW443" s="242"/>
      <c r="AX443" s="242"/>
      <c r="AY443" s="242"/>
      <c r="AZ443" s="242"/>
      <c r="BA443" s="242"/>
      <c r="BB443" s="237"/>
      <c r="BC443" s="242"/>
      <c r="BD443" s="242"/>
      <c r="BE443" s="242"/>
      <c r="BF443" s="242"/>
      <c r="BG443" s="242"/>
      <c r="BH443" s="242"/>
      <c r="BI443" s="242"/>
      <c r="BJ443" s="242"/>
      <c r="BK443" s="242"/>
      <c r="BL443" s="242"/>
      <c r="BM443" s="242"/>
      <c r="BN443" s="242"/>
      <c r="BO443" s="242"/>
      <c r="BP443" s="242"/>
    </row>
    <row r="444" spans="1:68" ht="14.25" hidden="1" customHeight="1" outlineLevel="1">
      <c r="A444" s="233"/>
      <c r="B444" s="237"/>
      <c r="C444" s="237"/>
      <c r="D444" s="237"/>
      <c r="E444" s="242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34"/>
      <c r="T444" s="242"/>
      <c r="U444" s="242"/>
      <c r="V444" s="242"/>
      <c r="W444" s="242"/>
      <c r="X444" s="242"/>
      <c r="Y444" s="242"/>
      <c r="Z444" s="242"/>
      <c r="AA444" s="242"/>
      <c r="AB444" s="242"/>
      <c r="AC444" s="242"/>
      <c r="AD444" s="242"/>
      <c r="AE444" s="242"/>
      <c r="AF444" s="242"/>
      <c r="AG444" s="242"/>
      <c r="AH444" s="242"/>
      <c r="AI444" s="242"/>
      <c r="AJ444" s="242"/>
      <c r="AK444" s="242"/>
      <c r="AL444" s="242"/>
      <c r="AM444" s="242"/>
      <c r="AN444" s="241"/>
      <c r="AO444" s="242"/>
      <c r="AP444" s="242"/>
      <c r="AQ444" s="242"/>
      <c r="AR444" s="242"/>
      <c r="AS444" s="242"/>
      <c r="AT444" s="242"/>
      <c r="AU444" s="242"/>
      <c r="AV444" s="242"/>
      <c r="AW444" s="242"/>
      <c r="AX444" s="242"/>
      <c r="AY444" s="242"/>
      <c r="AZ444" s="242"/>
      <c r="BA444" s="242"/>
      <c r="BB444" s="237"/>
      <c r="BC444" s="242"/>
      <c r="BD444" s="242"/>
      <c r="BE444" s="242"/>
      <c r="BF444" s="242"/>
      <c r="BG444" s="242"/>
      <c r="BH444" s="242"/>
      <c r="BI444" s="242"/>
      <c r="BJ444" s="242"/>
      <c r="BK444" s="242"/>
      <c r="BL444" s="242"/>
      <c r="BM444" s="242"/>
      <c r="BN444" s="242"/>
      <c r="BO444" s="242"/>
      <c r="BP444" s="242"/>
    </row>
    <row r="445" spans="1:68" ht="14.25" hidden="1" customHeight="1" outlineLevel="1">
      <c r="A445" s="233"/>
      <c r="B445" s="237"/>
      <c r="C445" s="237"/>
      <c r="D445" s="237"/>
      <c r="E445" s="242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34"/>
      <c r="T445" s="242"/>
      <c r="U445" s="242"/>
      <c r="V445" s="242"/>
      <c r="W445" s="242"/>
      <c r="X445" s="242"/>
      <c r="Y445" s="242"/>
      <c r="Z445" s="242"/>
      <c r="AA445" s="242"/>
      <c r="AB445" s="242"/>
      <c r="AC445" s="242"/>
      <c r="AD445" s="242"/>
      <c r="AE445" s="242"/>
      <c r="AF445" s="242"/>
      <c r="AG445" s="242"/>
      <c r="AH445" s="242"/>
      <c r="AI445" s="242"/>
      <c r="AJ445" s="242"/>
      <c r="AK445" s="242"/>
      <c r="AL445" s="242"/>
      <c r="AM445" s="242"/>
      <c r="AN445" s="241"/>
      <c r="AO445" s="242"/>
      <c r="AP445" s="242"/>
      <c r="AQ445" s="242"/>
      <c r="AR445" s="242"/>
      <c r="AS445" s="242"/>
      <c r="AT445" s="242"/>
      <c r="AU445" s="242"/>
      <c r="AV445" s="242"/>
      <c r="AW445" s="242"/>
      <c r="AX445" s="242"/>
      <c r="AY445" s="242"/>
      <c r="AZ445" s="242"/>
      <c r="BA445" s="242"/>
      <c r="BB445" s="237"/>
      <c r="BC445" s="242"/>
      <c r="BD445" s="242"/>
      <c r="BE445" s="242"/>
      <c r="BF445" s="242"/>
      <c r="BG445" s="242"/>
      <c r="BH445" s="242"/>
      <c r="BI445" s="242"/>
      <c r="BJ445" s="242"/>
      <c r="BK445" s="242"/>
      <c r="BL445" s="242"/>
      <c r="BM445" s="242"/>
      <c r="BN445" s="242"/>
      <c r="BO445" s="242"/>
      <c r="BP445" s="242"/>
    </row>
    <row r="446" spans="1:68" ht="14.25" hidden="1" customHeight="1" outlineLevel="1">
      <c r="A446" s="233"/>
      <c r="B446" s="237"/>
      <c r="C446" s="237"/>
      <c r="D446" s="237"/>
      <c r="E446" s="242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34"/>
      <c r="T446" s="242"/>
      <c r="U446" s="242"/>
      <c r="V446" s="242"/>
      <c r="W446" s="242"/>
      <c r="X446" s="242"/>
      <c r="Y446" s="242"/>
      <c r="Z446" s="242"/>
      <c r="AA446" s="242"/>
      <c r="AB446" s="242"/>
      <c r="AC446" s="242"/>
      <c r="AD446" s="242"/>
      <c r="AE446" s="242"/>
      <c r="AF446" s="242"/>
      <c r="AG446" s="242"/>
      <c r="AH446" s="242"/>
      <c r="AI446" s="242"/>
      <c r="AJ446" s="242"/>
      <c r="AK446" s="242"/>
      <c r="AL446" s="242"/>
      <c r="AM446" s="242"/>
      <c r="AN446" s="241"/>
      <c r="AO446" s="242"/>
      <c r="AP446" s="242"/>
      <c r="AQ446" s="242"/>
      <c r="AR446" s="242"/>
      <c r="AS446" s="242"/>
      <c r="AT446" s="242"/>
      <c r="AU446" s="242"/>
      <c r="AV446" s="242"/>
      <c r="AW446" s="242"/>
      <c r="AX446" s="242"/>
      <c r="AY446" s="242"/>
      <c r="AZ446" s="242"/>
      <c r="BA446" s="242"/>
      <c r="BB446" s="237"/>
      <c r="BC446" s="242"/>
      <c r="BD446" s="242"/>
      <c r="BE446" s="242"/>
      <c r="BF446" s="242"/>
      <c r="BG446" s="242"/>
      <c r="BH446" s="242"/>
      <c r="BI446" s="242"/>
      <c r="BJ446" s="242"/>
      <c r="BK446" s="242"/>
      <c r="BL446" s="242"/>
      <c r="BM446" s="242"/>
      <c r="BN446" s="242"/>
      <c r="BO446" s="242"/>
      <c r="BP446" s="242"/>
    </row>
    <row r="447" spans="1:68" ht="14.25" hidden="1" customHeight="1" outlineLevel="1">
      <c r="A447" s="233"/>
      <c r="B447" s="237"/>
      <c r="C447" s="237"/>
      <c r="D447" s="237"/>
      <c r="E447" s="242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34"/>
      <c r="T447" s="242"/>
      <c r="U447" s="242"/>
      <c r="V447" s="242"/>
      <c r="W447" s="242"/>
      <c r="X447" s="242"/>
      <c r="Y447" s="242"/>
      <c r="Z447" s="242"/>
      <c r="AA447" s="242"/>
      <c r="AB447" s="242"/>
      <c r="AC447" s="242"/>
      <c r="AD447" s="242"/>
      <c r="AE447" s="242"/>
      <c r="AF447" s="242"/>
      <c r="AG447" s="242"/>
      <c r="AH447" s="242"/>
      <c r="AI447" s="242"/>
      <c r="AJ447" s="242"/>
      <c r="AK447" s="242"/>
      <c r="AL447" s="242"/>
      <c r="AM447" s="242"/>
      <c r="AN447" s="241"/>
      <c r="AO447" s="242"/>
      <c r="AP447" s="242"/>
      <c r="AQ447" s="242"/>
      <c r="AR447" s="242"/>
      <c r="AS447" s="242"/>
      <c r="AT447" s="242"/>
      <c r="AU447" s="242"/>
      <c r="AV447" s="242"/>
      <c r="AW447" s="242"/>
      <c r="AX447" s="242"/>
      <c r="AY447" s="242"/>
      <c r="AZ447" s="242"/>
      <c r="BA447" s="242"/>
      <c r="BB447" s="237"/>
      <c r="BC447" s="242"/>
      <c r="BD447" s="242"/>
      <c r="BE447" s="242"/>
      <c r="BF447" s="242"/>
      <c r="BG447" s="242"/>
      <c r="BH447" s="242"/>
      <c r="BI447" s="242"/>
      <c r="BJ447" s="242"/>
      <c r="BK447" s="242"/>
      <c r="BL447" s="242"/>
      <c r="BM447" s="242"/>
      <c r="BN447" s="242"/>
      <c r="BO447" s="242"/>
      <c r="BP447" s="242"/>
    </row>
    <row r="448" spans="1:68" ht="14.25" hidden="1" customHeight="1" outlineLevel="1">
      <c r="A448" s="233"/>
      <c r="B448" s="237"/>
      <c r="C448" s="237"/>
      <c r="D448" s="237"/>
      <c r="E448" s="242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34"/>
      <c r="T448" s="242"/>
      <c r="U448" s="242"/>
      <c r="V448" s="242"/>
      <c r="W448" s="242"/>
      <c r="X448" s="242"/>
      <c r="Y448" s="242"/>
      <c r="Z448" s="242"/>
      <c r="AA448" s="242"/>
      <c r="AB448" s="242"/>
      <c r="AC448" s="242"/>
      <c r="AD448" s="242"/>
      <c r="AE448" s="242"/>
      <c r="AF448" s="242"/>
      <c r="AG448" s="242"/>
      <c r="AH448" s="242"/>
      <c r="AI448" s="242"/>
      <c r="AJ448" s="242"/>
      <c r="AK448" s="242"/>
      <c r="AL448" s="242"/>
      <c r="AM448" s="242"/>
      <c r="AN448" s="241"/>
      <c r="AO448" s="242"/>
      <c r="AP448" s="242"/>
      <c r="AQ448" s="242"/>
      <c r="AR448" s="242"/>
      <c r="AS448" s="242"/>
      <c r="AT448" s="242"/>
      <c r="AU448" s="242"/>
      <c r="AV448" s="242"/>
      <c r="AW448" s="242"/>
      <c r="AX448" s="242"/>
      <c r="AY448" s="242"/>
      <c r="AZ448" s="242"/>
      <c r="BA448" s="242"/>
      <c r="BB448" s="237"/>
      <c r="BC448" s="242"/>
      <c r="BD448" s="242"/>
      <c r="BE448" s="242"/>
      <c r="BF448" s="242"/>
      <c r="BG448" s="242"/>
      <c r="BH448" s="242"/>
      <c r="BI448" s="242"/>
      <c r="BJ448" s="242"/>
      <c r="BK448" s="242"/>
      <c r="BL448" s="242"/>
      <c r="BM448" s="242"/>
      <c r="BN448" s="242"/>
      <c r="BO448" s="242"/>
      <c r="BP448" s="242"/>
    </row>
    <row r="449" spans="1:68" ht="14.25" hidden="1" customHeight="1" outlineLevel="1">
      <c r="A449" s="233"/>
      <c r="B449" s="237"/>
      <c r="C449" s="237"/>
      <c r="D449" s="237"/>
      <c r="E449" s="242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34"/>
      <c r="T449" s="242"/>
      <c r="U449" s="242"/>
      <c r="V449" s="242"/>
      <c r="W449" s="242"/>
      <c r="X449" s="242"/>
      <c r="Y449" s="242"/>
      <c r="Z449" s="242"/>
      <c r="AA449" s="242"/>
      <c r="AB449" s="242"/>
      <c r="AC449" s="242"/>
      <c r="AD449" s="242"/>
      <c r="AE449" s="242"/>
      <c r="AF449" s="242"/>
      <c r="AG449" s="242"/>
      <c r="AH449" s="242"/>
      <c r="AI449" s="242"/>
      <c r="AJ449" s="242"/>
      <c r="AK449" s="242"/>
      <c r="AL449" s="242"/>
      <c r="AM449" s="242"/>
      <c r="AN449" s="241"/>
      <c r="AO449" s="242"/>
      <c r="AP449" s="242"/>
      <c r="AQ449" s="242"/>
      <c r="AR449" s="242"/>
      <c r="AS449" s="242"/>
      <c r="AT449" s="242"/>
      <c r="AU449" s="242"/>
      <c r="AV449" s="242"/>
      <c r="AW449" s="242"/>
      <c r="AX449" s="242"/>
      <c r="AY449" s="242"/>
      <c r="AZ449" s="242"/>
      <c r="BA449" s="242"/>
      <c r="BB449" s="237"/>
      <c r="BC449" s="242"/>
      <c r="BD449" s="242"/>
      <c r="BE449" s="242"/>
      <c r="BF449" s="242"/>
      <c r="BG449" s="242"/>
      <c r="BH449" s="242"/>
      <c r="BI449" s="242"/>
      <c r="BJ449" s="242"/>
      <c r="BK449" s="242"/>
      <c r="BL449" s="242"/>
      <c r="BM449" s="242"/>
      <c r="BN449" s="242"/>
      <c r="BO449" s="242"/>
      <c r="BP449" s="242"/>
    </row>
    <row r="450" spans="1:68" ht="14.25" hidden="1" customHeight="1" outlineLevel="1">
      <c r="A450" s="233"/>
      <c r="B450" s="237"/>
      <c r="C450" s="237"/>
      <c r="D450" s="237"/>
      <c r="E450" s="242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34"/>
      <c r="T450" s="242"/>
      <c r="U450" s="242"/>
      <c r="V450" s="242"/>
      <c r="W450" s="242"/>
      <c r="X450" s="242"/>
      <c r="Y450" s="242"/>
      <c r="Z450" s="242"/>
      <c r="AA450" s="242"/>
      <c r="AB450" s="242"/>
      <c r="AC450" s="242"/>
      <c r="AD450" s="242"/>
      <c r="AE450" s="242"/>
      <c r="AF450" s="242"/>
      <c r="AG450" s="242"/>
      <c r="AH450" s="242"/>
      <c r="AI450" s="242"/>
      <c r="AJ450" s="242"/>
      <c r="AK450" s="242"/>
      <c r="AL450" s="242"/>
      <c r="AM450" s="242"/>
      <c r="AN450" s="241"/>
      <c r="AO450" s="242"/>
      <c r="AP450" s="242"/>
      <c r="AQ450" s="242"/>
      <c r="AR450" s="242"/>
      <c r="AS450" s="242"/>
      <c r="AT450" s="242"/>
      <c r="AU450" s="242"/>
      <c r="AV450" s="242"/>
      <c r="AW450" s="242"/>
      <c r="AX450" s="242"/>
      <c r="AY450" s="242"/>
      <c r="AZ450" s="242"/>
      <c r="BA450" s="242"/>
      <c r="BB450" s="237"/>
      <c r="BC450" s="242"/>
      <c r="BD450" s="242"/>
      <c r="BE450" s="242"/>
      <c r="BF450" s="242"/>
      <c r="BG450" s="242"/>
      <c r="BH450" s="242"/>
      <c r="BI450" s="242"/>
      <c r="BJ450" s="242"/>
      <c r="BK450" s="242"/>
      <c r="BL450" s="242"/>
      <c r="BM450" s="242"/>
      <c r="BN450" s="242"/>
      <c r="BO450" s="242"/>
      <c r="BP450" s="242"/>
    </row>
    <row r="451" spans="1:68" ht="14.25" hidden="1" customHeight="1" outlineLevel="1">
      <c r="A451" s="233"/>
      <c r="B451" s="237"/>
      <c r="C451" s="237"/>
      <c r="D451" s="237"/>
      <c r="E451" s="242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34"/>
      <c r="T451" s="242"/>
      <c r="U451" s="242"/>
      <c r="V451" s="242"/>
      <c r="W451" s="242"/>
      <c r="X451" s="242"/>
      <c r="Y451" s="242"/>
      <c r="Z451" s="242"/>
      <c r="AA451" s="242"/>
      <c r="AB451" s="242"/>
      <c r="AC451" s="242"/>
      <c r="AD451" s="242"/>
      <c r="AE451" s="242"/>
      <c r="AF451" s="242"/>
      <c r="AG451" s="242"/>
      <c r="AH451" s="242"/>
      <c r="AI451" s="242"/>
      <c r="AJ451" s="242"/>
      <c r="AK451" s="242"/>
      <c r="AL451" s="242"/>
      <c r="AM451" s="242"/>
      <c r="AN451" s="241"/>
      <c r="AO451" s="242"/>
      <c r="AP451" s="242"/>
      <c r="AQ451" s="242"/>
      <c r="AR451" s="242"/>
      <c r="AS451" s="242"/>
      <c r="AT451" s="242"/>
      <c r="AU451" s="242"/>
      <c r="AV451" s="242"/>
      <c r="AW451" s="242"/>
      <c r="AX451" s="242"/>
      <c r="AY451" s="242"/>
      <c r="AZ451" s="242"/>
      <c r="BA451" s="242"/>
      <c r="BB451" s="237"/>
      <c r="BC451" s="242"/>
      <c r="BD451" s="242"/>
      <c r="BE451" s="242"/>
      <c r="BF451" s="242"/>
      <c r="BG451" s="242"/>
      <c r="BH451" s="242"/>
      <c r="BI451" s="242"/>
      <c r="BJ451" s="242"/>
      <c r="BK451" s="242"/>
      <c r="BL451" s="242"/>
      <c r="BM451" s="242"/>
      <c r="BN451" s="242"/>
      <c r="BO451" s="242"/>
      <c r="BP451" s="242"/>
    </row>
    <row r="452" spans="1:68" ht="14.25" hidden="1" customHeight="1" outlineLevel="1">
      <c r="A452" s="233"/>
      <c r="B452" s="237"/>
      <c r="C452" s="237"/>
      <c r="D452" s="237"/>
      <c r="E452" s="242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34"/>
      <c r="T452" s="242"/>
      <c r="U452" s="242"/>
      <c r="V452" s="242"/>
      <c r="W452" s="242"/>
      <c r="X452" s="242"/>
      <c r="Y452" s="242"/>
      <c r="Z452" s="242"/>
      <c r="AA452" s="242"/>
      <c r="AB452" s="242"/>
      <c r="AC452" s="242"/>
      <c r="AD452" s="242"/>
      <c r="AE452" s="242"/>
      <c r="AF452" s="242"/>
      <c r="AG452" s="242"/>
      <c r="AH452" s="242"/>
      <c r="AI452" s="242"/>
      <c r="AJ452" s="242"/>
      <c r="AK452" s="242"/>
      <c r="AL452" s="242"/>
      <c r="AM452" s="242"/>
      <c r="AN452" s="241"/>
      <c r="AO452" s="242"/>
      <c r="AP452" s="242"/>
      <c r="AQ452" s="242"/>
      <c r="AR452" s="242"/>
      <c r="AS452" s="242"/>
      <c r="AT452" s="242"/>
      <c r="AU452" s="242"/>
      <c r="AV452" s="242"/>
      <c r="AW452" s="242"/>
      <c r="AX452" s="242"/>
      <c r="AY452" s="242"/>
      <c r="AZ452" s="242"/>
      <c r="BA452" s="242"/>
      <c r="BB452" s="237"/>
      <c r="BC452" s="242"/>
      <c r="BD452" s="242"/>
      <c r="BE452" s="242"/>
      <c r="BF452" s="242"/>
      <c r="BG452" s="242"/>
      <c r="BH452" s="242"/>
      <c r="BI452" s="242"/>
      <c r="BJ452" s="242"/>
      <c r="BK452" s="242"/>
      <c r="BL452" s="242"/>
      <c r="BM452" s="242"/>
      <c r="BN452" s="242"/>
      <c r="BO452" s="242"/>
      <c r="BP452" s="242"/>
    </row>
    <row r="453" spans="1:68" ht="14.25" hidden="1" customHeight="1" outlineLevel="1">
      <c r="A453" s="233"/>
      <c r="B453" s="237"/>
      <c r="C453" s="237"/>
      <c r="D453" s="237"/>
      <c r="E453" s="242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34"/>
      <c r="T453" s="242"/>
      <c r="U453" s="242"/>
      <c r="V453" s="242"/>
      <c r="W453" s="242"/>
      <c r="X453" s="242"/>
      <c r="Y453" s="242"/>
      <c r="Z453" s="242"/>
      <c r="AA453" s="242"/>
      <c r="AB453" s="242"/>
      <c r="AC453" s="242"/>
      <c r="AD453" s="242"/>
      <c r="AE453" s="242"/>
      <c r="AF453" s="242"/>
      <c r="AG453" s="242"/>
      <c r="AH453" s="242"/>
      <c r="AI453" s="242"/>
      <c r="AJ453" s="242"/>
      <c r="AK453" s="242"/>
      <c r="AL453" s="242"/>
      <c r="AM453" s="242"/>
      <c r="AN453" s="241"/>
      <c r="AO453" s="242"/>
      <c r="AP453" s="242"/>
      <c r="AQ453" s="242"/>
      <c r="AR453" s="242"/>
      <c r="AS453" s="242"/>
      <c r="AT453" s="242"/>
      <c r="AU453" s="242"/>
      <c r="AV453" s="242"/>
      <c r="AW453" s="242"/>
      <c r="AX453" s="242"/>
      <c r="AY453" s="242"/>
      <c r="AZ453" s="242"/>
      <c r="BA453" s="242"/>
      <c r="BB453" s="237"/>
      <c r="BC453" s="242"/>
      <c r="BD453" s="242"/>
      <c r="BE453" s="242"/>
      <c r="BF453" s="242"/>
      <c r="BG453" s="242"/>
      <c r="BH453" s="242"/>
      <c r="BI453" s="242"/>
      <c r="BJ453" s="242"/>
      <c r="BK453" s="242"/>
      <c r="BL453" s="242"/>
      <c r="BM453" s="242"/>
      <c r="BN453" s="242"/>
      <c r="BO453" s="242"/>
      <c r="BP453" s="242"/>
    </row>
    <row r="454" spans="1:68" ht="14.25" hidden="1" customHeight="1" outlineLevel="1">
      <c r="A454" s="233"/>
      <c r="B454" s="237"/>
      <c r="C454" s="237"/>
      <c r="D454" s="237"/>
      <c r="E454" s="242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34"/>
      <c r="T454" s="242"/>
      <c r="U454" s="242"/>
      <c r="V454" s="242"/>
      <c r="W454" s="242"/>
      <c r="X454" s="242"/>
      <c r="Y454" s="242"/>
      <c r="Z454" s="242"/>
      <c r="AA454" s="242"/>
      <c r="AB454" s="242"/>
      <c r="AC454" s="242"/>
      <c r="AD454" s="242"/>
      <c r="AE454" s="242"/>
      <c r="AF454" s="242"/>
      <c r="AG454" s="242"/>
      <c r="AH454" s="242"/>
      <c r="AI454" s="242"/>
      <c r="AJ454" s="242"/>
      <c r="AK454" s="242"/>
      <c r="AL454" s="242"/>
      <c r="AM454" s="242"/>
      <c r="AN454" s="241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37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  <c r="BM454" s="242"/>
      <c r="BN454" s="242"/>
      <c r="BO454" s="242"/>
      <c r="BP454" s="242"/>
    </row>
    <row r="455" spans="1:68" ht="14.25" hidden="1" customHeight="1" outlineLevel="1">
      <c r="A455" s="233"/>
      <c r="B455" s="237"/>
      <c r="C455" s="237"/>
      <c r="D455" s="237"/>
      <c r="E455" s="242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34"/>
      <c r="T455" s="242"/>
      <c r="U455" s="242"/>
      <c r="V455" s="242"/>
      <c r="W455" s="242"/>
      <c r="X455" s="242"/>
      <c r="Y455" s="242"/>
      <c r="Z455" s="242"/>
      <c r="AA455" s="242"/>
      <c r="AB455" s="242"/>
      <c r="AC455" s="242"/>
      <c r="AD455" s="242"/>
      <c r="AE455" s="242"/>
      <c r="AF455" s="242"/>
      <c r="AG455" s="242"/>
      <c r="AH455" s="242"/>
      <c r="AI455" s="242"/>
      <c r="AJ455" s="242"/>
      <c r="AK455" s="242"/>
      <c r="AL455" s="242"/>
      <c r="AM455" s="242"/>
      <c r="AN455" s="241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37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  <c r="BM455" s="242"/>
      <c r="BN455" s="242"/>
      <c r="BO455" s="242"/>
      <c r="BP455" s="242"/>
    </row>
    <row r="456" spans="1:68" ht="14.25" hidden="1" customHeight="1" outlineLevel="1">
      <c r="A456" s="233"/>
      <c r="B456" s="237"/>
      <c r="C456" s="237"/>
      <c r="D456" s="237"/>
      <c r="E456" s="242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34"/>
      <c r="T456" s="242"/>
      <c r="U456" s="242"/>
      <c r="V456" s="242"/>
      <c r="W456" s="242"/>
      <c r="X456" s="242"/>
      <c r="Y456" s="242"/>
      <c r="Z456" s="242"/>
      <c r="AA456" s="242"/>
      <c r="AB456" s="242"/>
      <c r="AC456" s="242"/>
      <c r="AD456" s="242"/>
      <c r="AE456" s="242"/>
      <c r="AF456" s="242"/>
      <c r="AG456" s="242"/>
      <c r="AH456" s="242"/>
      <c r="AI456" s="242"/>
      <c r="AJ456" s="242"/>
      <c r="AK456" s="242"/>
      <c r="AL456" s="242"/>
      <c r="AM456" s="242"/>
      <c r="AN456" s="241"/>
      <c r="AO456" s="242"/>
      <c r="AP456" s="242"/>
      <c r="AQ456" s="242"/>
      <c r="AR456" s="242"/>
      <c r="AS456" s="242"/>
      <c r="AT456" s="242"/>
      <c r="AU456" s="242"/>
      <c r="AV456" s="242"/>
      <c r="AW456" s="242"/>
      <c r="AX456" s="242"/>
      <c r="AY456" s="242"/>
      <c r="AZ456" s="242"/>
      <c r="BA456" s="242"/>
      <c r="BB456" s="237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  <c r="BM456" s="242"/>
      <c r="BN456" s="242"/>
      <c r="BO456" s="242"/>
      <c r="BP456" s="242"/>
    </row>
    <row r="457" spans="1:68" ht="14.25" hidden="1" customHeight="1" outlineLevel="1">
      <c r="A457" s="233"/>
      <c r="B457" s="237"/>
      <c r="C457" s="237"/>
      <c r="D457" s="237"/>
      <c r="E457" s="242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34"/>
      <c r="T457" s="242"/>
      <c r="U457" s="242"/>
      <c r="V457" s="242"/>
      <c r="W457" s="242"/>
      <c r="X457" s="242"/>
      <c r="Y457" s="242"/>
      <c r="Z457" s="242"/>
      <c r="AA457" s="242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2"/>
      <c r="AN457" s="241"/>
      <c r="AO457" s="242"/>
      <c r="AP457" s="242"/>
      <c r="AQ457" s="242"/>
      <c r="AR457" s="242"/>
      <c r="AS457" s="242"/>
      <c r="AT457" s="242"/>
      <c r="AU457" s="242"/>
      <c r="AV457" s="242"/>
      <c r="AW457" s="242"/>
      <c r="AX457" s="242"/>
      <c r="AY457" s="242"/>
      <c r="AZ457" s="242"/>
      <c r="BA457" s="242"/>
      <c r="BB457" s="237"/>
      <c r="BC457" s="242"/>
      <c r="BD457" s="242"/>
      <c r="BE457" s="242"/>
      <c r="BF457" s="242"/>
      <c r="BG457" s="242"/>
      <c r="BH457" s="242"/>
      <c r="BI457" s="242"/>
      <c r="BJ457" s="242"/>
      <c r="BK457" s="242"/>
      <c r="BL457" s="242"/>
      <c r="BM457" s="242"/>
      <c r="BN457" s="242"/>
      <c r="BO457" s="242"/>
      <c r="BP457" s="242"/>
    </row>
    <row r="458" spans="1:68" ht="14.25" hidden="1" customHeight="1" outlineLevel="1">
      <c r="A458" s="233"/>
      <c r="B458" s="237"/>
      <c r="C458" s="237"/>
      <c r="D458" s="237"/>
      <c r="E458" s="242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34"/>
      <c r="T458" s="242"/>
      <c r="U458" s="242"/>
      <c r="V458" s="242"/>
      <c r="W458" s="242"/>
      <c r="X458" s="242"/>
      <c r="Y458" s="242"/>
      <c r="Z458" s="242"/>
      <c r="AA458" s="242"/>
      <c r="AB458" s="242"/>
      <c r="AC458" s="242"/>
      <c r="AD458" s="242"/>
      <c r="AE458" s="242"/>
      <c r="AF458" s="242"/>
      <c r="AG458" s="242"/>
      <c r="AH458" s="242"/>
      <c r="AI458" s="242"/>
      <c r="AJ458" s="242"/>
      <c r="AK458" s="242"/>
      <c r="AL458" s="242"/>
      <c r="AM458" s="242"/>
      <c r="AN458" s="241"/>
      <c r="AO458" s="242"/>
      <c r="AP458" s="242"/>
      <c r="AQ458" s="242"/>
      <c r="AR458" s="242"/>
      <c r="AS458" s="242"/>
      <c r="AT458" s="242"/>
      <c r="AU458" s="242"/>
      <c r="AV458" s="242"/>
      <c r="AW458" s="242"/>
      <c r="AX458" s="242"/>
      <c r="AY458" s="242"/>
      <c r="AZ458" s="242"/>
      <c r="BA458" s="242"/>
      <c r="BB458" s="237"/>
      <c r="BC458" s="242"/>
      <c r="BD458" s="242"/>
      <c r="BE458" s="242"/>
      <c r="BF458" s="242"/>
      <c r="BG458" s="242"/>
      <c r="BH458" s="242"/>
      <c r="BI458" s="242"/>
      <c r="BJ458" s="242"/>
      <c r="BK458" s="242"/>
      <c r="BL458" s="242"/>
      <c r="BM458" s="242"/>
      <c r="BN458" s="242"/>
      <c r="BO458" s="242"/>
      <c r="BP458" s="242"/>
    </row>
    <row r="459" spans="1:68" ht="14.25" hidden="1" customHeight="1" outlineLevel="1">
      <c r="A459" s="233"/>
      <c r="B459" s="237"/>
      <c r="C459" s="237"/>
      <c r="D459" s="237"/>
      <c r="E459" s="242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34"/>
      <c r="T459" s="242"/>
      <c r="U459" s="242"/>
      <c r="V459" s="242"/>
      <c r="W459" s="242"/>
      <c r="X459" s="242"/>
      <c r="Y459" s="242"/>
      <c r="Z459" s="242"/>
      <c r="AA459" s="242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2"/>
      <c r="AN459" s="241"/>
      <c r="AO459" s="242"/>
      <c r="AP459" s="242"/>
      <c r="AQ459" s="242"/>
      <c r="AR459" s="242"/>
      <c r="AS459" s="242"/>
      <c r="AT459" s="242"/>
      <c r="AU459" s="242"/>
      <c r="AV459" s="242"/>
      <c r="AW459" s="242"/>
      <c r="AX459" s="242"/>
      <c r="AY459" s="242"/>
      <c r="AZ459" s="242"/>
      <c r="BA459" s="242"/>
      <c r="BB459" s="237"/>
      <c r="BC459" s="242"/>
      <c r="BD459" s="242"/>
      <c r="BE459" s="242"/>
      <c r="BF459" s="242"/>
      <c r="BG459" s="242"/>
      <c r="BH459" s="242"/>
      <c r="BI459" s="242"/>
      <c r="BJ459" s="242"/>
      <c r="BK459" s="242"/>
      <c r="BL459" s="242"/>
      <c r="BM459" s="242"/>
      <c r="BN459" s="242"/>
      <c r="BO459" s="242"/>
      <c r="BP459" s="242"/>
    </row>
    <row r="460" spans="1:68" ht="14.25" hidden="1" customHeight="1" outlineLevel="1">
      <c r="A460" s="233"/>
      <c r="B460" s="237"/>
      <c r="C460" s="237"/>
      <c r="D460" s="237"/>
      <c r="E460" s="242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34"/>
      <c r="T460" s="242"/>
      <c r="U460" s="242"/>
      <c r="V460" s="242"/>
      <c r="W460" s="242"/>
      <c r="X460" s="242"/>
      <c r="Y460" s="242"/>
      <c r="Z460" s="242"/>
      <c r="AA460" s="242"/>
      <c r="AB460" s="242"/>
      <c r="AC460" s="242"/>
      <c r="AD460" s="242"/>
      <c r="AE460" s="242"/>
      <c r="AF460" s="242"/>
      <c r="AG460" s="242"/>
      <c r="AH460" s="242"/>
      <c r="AI460" s="242"/>
      <c r="AJ460" s="242"/>
      <c r="AK460" s="242"/>
      <c r="AL460" s="242"/>
      <c r="AM460" s="242"/>
      <c r="AN460" s="241"/>
      <c r="AO460" s="242"/>
      <c r="AP460" s="242"/>
      <c r="AQ460" s="242"/>
      <c r="AR460" s="242"/>
      <c r="AS460" s="242"/>
      <c r="AT460" s="242"/>
      <c r="AU460" s="242"/>
      <c r="AV460" s="242"/>
      <c r="AW460" s="242"/>
      <c r="AX460" s="242"/>
      <c r="AY460" s="242"/>
      <c r="AZ460" s="242"/>
      <c r="BA460" s="242"/>
      <c r="BB460" s="237"/>
      <c r="BC460" s="242"/>
      <c r="BD460" s="242"/>
      <c r="BE460" s="242"/>
      <c r="BF460" s="242"/>
      <c r="BG460" s="242"/>
      <c r="BH460" s="242"/>
      <c r="BI460" s="242"/>
      <c r="BJ460" s="242"/>
      <c r="BK460" s="242"/>
      <c r="BL460" s="242"/>
      <c r="BM460" s="242"/>
      <c r="BN460" s="242"/>
      <c r="BO460" s="242"/>
      <c r="BP460" s="242"/>
    </row>
    <row r="461" spans="1:68" ht="14.25" hidden="1" customHeight="1" outlineLevel="1">
      <c r="A461" s="233"/>
      <c r="B461" s="237"/>
      <c r="C461" s="237"/>
      <c r="D461" s="237"/>
      <c r="E461" s="242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34"/>
      <c r="T461" s="242"/>
      <c r="U461" s="242"/>
      <c r="V461" s="242"/>
      <c r="W461" s="242"/>
      <c r="X461" s="242"/>
      <c r="Y461" s="242"/>
      <c r="Z461" s="242"/>
      <c r="AA461" s="242"/>
      <c r="AB461" s="242"/>
      <c r="AC461" s="242"/>
      <c r="AD461" s="242"/>
      <c r="AE461" s="242"/>
      <c r="AF461" s="242"/>
      <c r="AG461" s="242"/>
      <c r="AH461" s="242"/>
      <c r="AI461" s="242"/>
      <c r="AJ461" s="242"/>
      <c r="AK461" s="242"/>
      <c r="AL461" s="242"/>
      <c r="AM461" s="242"/>
      <c r="AN461" s="241"/>
      <c r="AO461" s="242"/>
      <c r="AP461" s="242"/>
      <c r="AQ461" s="242"/>
      <c r="AR461" s="242"/>
      <c r="AS461" s="242"/>
      <c r="AT461" s="242"/>
      <c r="AU461" s="242"/>
      <c r="AV461" s="242"/>
      <c r="AW461" s="242"/>
      <c r="AX461" s="242"/>
      <c r="AY461" s="242"/>
      <c r="AZ461" s="242"/>
      <c r="BA461" s="242"/>
      <c r="BB461" s="237"/>
      <c r="BC461" s="242"/>
      <c r="BD461" s="242"/>
      <c r="BE461" s="242"/>
      <c r="BF461" s="242"/>
      <c r="BG461" s="242"/>
      <c r="BH461" s="242"/>
      <c r="BI461" s="242"/>
      <c r="BJ461" s="242"/>
      <c r="BK461" s="242"/>
      <c r="BL461" s="242"/>
      <c r="BM461" s="242"/>
      <c r="BN461" s="242"/>
      <c r="BO461" s="242"/>
      <c r="BP461" s="242"/>
    </row>
    <row r="462" spans="1:68" ht="14.25" hidden="1" customHeight="1" outlineLevel="1">
      <c r="A462" s="233"/>
      <c r="B462" s="237"/>
      <c r="C462" s="237"/>
      <c r="D462" s="237"/>
      <c r="E462" s="242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34"/>
      <c r="T462" s="242"/>
      <c r="U462" s="242"/>
      <c r="V462" s="242"/>
      <c r="W462" s="242"/>
      <c r="X462" s="242"/>
      <c r="Y462" s="242"/>
      <c r="Z462" s="242"/>
      <c r="AA462" s="242"/>
      <c r="AB462" s="242"/>
      <c r="AC462" s="242"/>
      <c r="AD462" s="242"/>
      <c r="AE462" s="242"/>
      <c r="AF462" s="242"/>
      <c r="AG462" s="242"/>
      <c r="AH462" s="242"/>
      <c r="AI462" s="242"/>
      <c r="AJ462" s="242"/>
      <c r="AK462" s="242"/>
      <c r="AL462" s="242"/>
      <c r="AM462" s="242"/>
      <c r="AN462" s="241"/>
      <c r="AO462" s="242"/>
      <c r="AP462" s="242"/>
      <c r="AQ462" s="242"/>
      <c r="AR462" s="242"/>
      <c r="AS462" s="242"/>
      <c r="AT462" s="242"/>
      <c r="AU462" s="242"/>
      <c r="AV462" s="242"/>
      <c r="AW462" s="242"/>
      <c r="AX462" s="242"/>
      <c r="AY462" s="242"/>
      <c r="AZ462" s="242"/>
      <c r="BA462" s="242"/>
      <c r="BB462" s="237"/>
      <c r="BC462" s="242"/>
      <c r="BD462" s="242"/>
      <c r="BE462" s="242"/>
      <c r="BF462" s="242"/>
      <c r="BG462" s="242"/>
      <c r="BH462" s="242"/>
      <c r="BI462" s="242"/>
      <c r="BJ462" s="242"/>
      <c r="BK462" s="242"/>
      <c r="BL462" s="242"/>
      <c r="BM462" s="242"/>
      <c r="BN462" s="242"/>
      <c r="BO462" s="242"/>
      <c r="BP462" s="242"/>
    </row>
    <row r="463" spans="1:68" ht="14.25" hidden="1" customHeight="1" outlineLevel="1">
      <c r="A463" s="233"/>
      <c r="B463" s="237"/>
      <c r="C463" s="237"/>
      <c r="D463" s="237"/>
      <c r="E463" s="242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34"/>
      <c r="T463" s="242"/>
      <c r="U463" s="242"/>
      <c r="V463" s="242"/>
      <c r="W463" s="242"/>
      <c r="X463" s="242"/>
      <c r="Y463" s="242"/>
      <c r="Z463" s="242"/>
      <c r="AA463" s="242"/>
      <c r="AB463" s="242"/>
      <c r="AC463" s="242"/>
      <c r="AD463" s="242"/>
      <c r="AE463" s="242"/>
      <c r="AF463" s="242"/>
      <c r="AG463" s="242"/>
      <c r="AH463" s="242"/>
      <c r="AI463" s="242"/>
      <c r="AJ463" s="242"/>
      <c r="AK463" s="242"/>
      <c r="AL463" s="242"/>
      <c r="AM463" s="242"/>
      <c r="AN463" s="241"/>
      <c r="AO463" s="242"/>
      <c r="AP463" s="242"/>
      <c r="AQ463" s="242"/>
      <c r="AR463" s="242"/>
      <c r="AS463" s="242"/>
      <c r="AT463" s="242"/>
      <c r="AU463" s="242"/>
      <c r="AV463" s="242"/>
      <c r="AW463" s="242"/>
      <c r="AX463" s="242"/>
      <c r="AY463" s="242"/>
      <c r="AZ463" s="242"/>
      <c r="BA463" s="242"/>
      <c r="BB463" s="237"/>
      <c r="BC463" s="242"/>
      <c r="BD463" s="242"/>
      <c r="BE463" s="242"/>
      <c r="BF463" s="242"/>
      <c r="BG463" s="242"/>
      <c r="BH463" s="242"/>
      <c r="BI463" s="242"/>
      <c r="BJ463" s="242"/>
      <c r="BK463" s="242"/>
      <c r="BL463" s="242"/>
      <c r="BM463" s="242"/>
      <c r="BN463" s="242"/>
      <c r="BO463" s="242"/>
      <c r="BP463" s="242"/>
    </row>
    <row r="464" spans="1:68" ht="14.25" hidden="1" customHeight="1" outlineLevel="1">
      <c r="A464" s="233"/>
      <c r="B464" s="237"/>
      <c r="C464" s="237"/>
      <c r="D464" s="237"/>
      <c r="E464" s="242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34"/>
      <c r="T464" s="242"/>
      <c r="U464" s="242"/>
      <c r="V464" s="242"/>
      <c r="W464" s="242"/>
      <c r="X464" s="242"/>
      <c r="Y464" s="242"/>
      <c r="Z464" s="242"/>
      <c r="AA464" s="242"/>
      <c r="AB464" s="242"/>
      <c r="AC464" s="242"/>
      <c r="AD464" s="242"/>
      <c r="AE464" s="242"/>
      <c r="AF464" s="242"/>
      <c r="AG464" s="242"/>
      <c r="AH464" s="242"/>
      <c r="AI464" s="242"/>
      <c r="AJ464" s="242"/>
      <c r="AK464" s="242"/>
      <c r="AL464" s="242"/>
      <c r="AM464" s="242"/>
      <c r="AN464" s="241"/>
      <c r="AO464" s="242"/>
      <c r="AP464" s="242"/>
      <c r="AQ464" s="242"/>
      <c r="AR464" s="242"/>
      <c r="AS464" s="242"/>
      <c r="AT464" s="242"/>
      <c r="AU464" s="242"/>
      <c r="AV464" s="242"/>
      <c r="AW464" s="242"/>
      <c r="AX464" s="242"/>
      <c r="AY464" s="242"/>
      <c r="AZ464" s="242"/>
      <c r="BA464" s="242"/>
      <c r="BB464" s="237"/>
      <c r="BC464" s="242"/>
      <c r="BD464" s="242"/>
      <c r="BE464" s="242"/>
      <c r="BF464" s="242"/>
      <c r="BG464" s="242"/>
      <c r="BH464" s="242"/>
      <c r="BI464" s="242"/>
      <c r="BJ464" s="242"/>
      <c r="BK464" s="242"/>
      <c r="BL464" s="242"/>
      <c r="BM464" s="242"/>
      <c r="BN464" s="242"/>
      <c r="BO464" s="242"/>
      <c r="BP464" s="242"/>
    </row>
    <row r="465" spans="1:68" ht="14.25" hidden="1" customHeight="1" outlineLevel="1">
      <c r="A465" s="233"/>
      <c r="B465" s="237"/>
      <c r="C465" s="237"/>
      <c r="D465" s="237"/>
      <c r="E465" s="242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34"/>
      <c r="T465" s="242"/>
      <c r="U465" s="242"/>
      <c r="V465" s="242"/>
      <c r="W465" s="242"/>
      <c r="X465" s="242"/>
      <c r="Y465" s="242"/>
      <c r="Z465" s="242"/>
      <c r="AA465" s="242"/>
      <c r="AB465" s="242"/>
      <c r="AC465" s="242"/>
      <c r="AD465" s="242"/>
      <c r="AE465" s="242"/>
      <c r="AF465" s="242"/>
      <c r="AG465" s="242"/>
      <c r="AH465" s="242"/>
      <c r="AI465" s="242"/>
      <c r="AJ465" s="242"/>
      <c r="AK465" s="242"/>
      <c r="AL465" s="242"/>
      <c r="AM465" s="242"/>
      <c r="AN465" s="241"/>
      <c r="AO465" s="242"/>
      <c r="AP465" s="242"/>
      <c r="AQ465" s="242"/>
      <c r="AR465" s="242"/>
      <c r="AS465" s="242"/>
      <c r="AT465" s="242"/>
      <c r="AU465" s="242"/>
      <c r="AV465" s="242"/>
      <c r="AW465" s="242"/>
      <c r="AX465" s="242"/>
      <c r="AY465" s="242"/>
      <c r="AZ465" s="242"/>
      <c r="BA465" s="242"/>
      <c r="BB465" s="237"/>
      <c r="BC465" s="242"/>
      <c r="BD465" s="242"/>
      <c r="BE465" s="242"/>
      <c r="BF465" s="242"/>
      <c r="BG465" s="242"/>
      <c r="BH465" s="242"/>
      <c r="BI465" s="242"/>
      <c r="BJ465" s="242"/>
      <c r="BK465" s="242"/>
      <c r="BL465" s="242"/>
      <c r="BM465" s="242"/>
      <c r="BN465" s="242"/>
      <c r="BO465" s="242"/>
      <c r="BP465" s="242"/>
    </row>
    <row r="466" spans="1:68" ht="14.25" hidden="1" customHeight="1" outlineLevel="1">
      <c r="A466" s="233"/>
      <c r="B466" s="237"/>
      <c r="C466" s="237"/>
      <c r="D466" s="237"/>
      <c r="E466" s="242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34"/>
      <c r="T466" s="242"/>
      <c r="U466" s="242"/>
      <c r="V466" s="242"/>
      <c r="W466" s="242"/>
      <c r="X466" s="242"/>
      <c r="Y466" s="242"/>
      <c r="Z466" s="242"/>
      <c r="AA466" s="242"/>
      <c r="AB466" s="242"/>
      <c r="AC466" s="242"/>
      <c r="AD466" s="242"/>
      <c r="AE466" s="242"/>
      <c r="AF466" s="242"/>
      <c r="AG466" s="242"/>
      <c r="AH466" s="242"/>
      <c r="AI466" s="242"/>
      <c r="AJ466" s="242"/>
      <c r="AK466" s="242"/>
      <c r="AL466" s="242"/>
      <c r="AM466" s="242"/>
      <c r="AN466" s="241"/>
      <c r="AO466" s="242"/>
      <c r="AP466" s="242"/>
      <c r="AQ466" s="242"/>
      <c r="AR466" s="242"/>
      <c r="AS466" s="242"/>
      <c r="AT466" s="242"/>
      <c r="AU466" s="242"/>
      <c r="AV466" s="242"/>
      <c r="AW466" s="242"/>
      <c r="AX466" s="242"/>
      <c r="AY466" s="242"/>
      <c r="AZ466" s="242"/>
      <c r="BA466" s="242"/>
      <c r="BB466" s="237"/>
      <c r="BC466" s="242"/>
      <c r="BD466" s="242"/>
      <c r="BE466" s="242"/>
      <c r="BF466" s="242"/>
      <c r="BG466" s="242"/>
      <c r="BH466" s="242"/>
      <c r="BI466" s="242"/>
      <c r="BJ466" s="242"/>
      <c r="BK466" s="242"/>
      <c r="BL466" s="242"/>
      <c r="BM466" s="242"/>
      <c r="BN466" s="242"/>
      <c r="BO466" s="242"/>
      <c r="BP466" s="242"/>
    </row>
    <row r="467" spans="1:68" ht="14.25" hidden="1" customHeight="1" outlineLevel="1">
      <c r="A467" s="233"/>
      <c r="B467" s="237"/>
      <c r="C467" s="237"/>
      <c r="D467" s="237"/>
      <c r="E467" s="242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34"/>
      <c r="T467" s="242"/>
      <c r="U467" s="242"/>
      <c r="V467" s="242"/>
      <c r="W467" s="242"/>
      <c r="X467" s="242"/>
      <c r="Y467" s="242"/>
      <c r="Z467" s="242"/>
      <c r="AA467" s="242"/>
      <c r="AB467" s="242"/>
      <c r="AC467" s="242"/>
      <c r="AD467" s="242"/>
      <c r="AE467" s="242"/>
      <c r="AF467" s="242"/>
      <c r="AG467" s="242"/>
      <c r="AH467" s="242"/>
      <c r="AI467" s="242"/>
      <c r="AJ467" s="242"/>
      <c r="AK467" s="242"/>
      <c r="AL467" s="242"/>
      <c r="AM467" s="242"/>
      <c r="AN467" s="241"/>
      <c r="AO467" s="242"/>
      <c r="AP467" s="242"/>
      <c r="AQ467" s="242"/>
      <c r="AR467" s="242"/>
      <c r="AS467" s="242"/>
      <c r="AT467" s="242"/>
      <c r="AU467" s="242"/>
      <c r="AV467" s="242"/>
      <c r="AW467" s="242"/>
      <c r="AX467" s="242"/>
      <c r="AY467" s="242"/>
      <c r="AZ467" s="242"/>
      <c r="BA467" s="242"/>
      <c r="BB467" s="237"/>
      <c r="BC467" s="242"/>
      <c r="BD467" s="242"/>
      <c r="BE467" s="242"/>
      <c r="BF467" s="242"/>
      <c r="BG467" s="242"/>
      <c r="BH467" s="242"/>
      <c r="BI467" s="242"/>
      <c r="BJ467" s="242"/>
      <c r="BK467" s="242"/>
      <c r="BL467" s="242"/>
      <c r="BM467" s="242"/>
      <c r="BN467" s="242"/>
      <c r="BO467" s="242"/>
      <c r="BP467" s="242"/>
    </row>
    <row r="468" spans="1:68" ht="14.25" hidden="1" customHeight="1" outlineLevel="1">
      <c r="A468" s="233"/>
      <c r="B468" s="237"/>
      <c r="C468" s="237"/>
      <c r="D468" s="237"/>
      <c r="E468" s="242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34"/>
      <c r="T468" s="242"/>
      <c r="U468" s="242"/>
      <c r="V468" s="242"/>
      <c r="W468" s="242"/>
      <c r="X468" s="242"/>
      <c r="Y468" s="242"/>
      <c r="Z468" s="242"/>
      <c r="AA468" s="242"/>
      <c r="AB468" s="242"/>
      <c r="AC468" s="242"/>
      <c r="AD468" s="242"/>
      <c r="AE468" s="242"/>
      <c r="AF468" s="242"/>
      <c r="AG468" s="242"/>
      <c r="AH468" s="242"/>
      <c r="AI468" s="242"/>
      <c r="AJ468" s="242"/>
      <c r="AK468" s="242"/>
      <c r="AL468" s="242"/>
      <c r="AM468" s="242"/>
      <c r="AN468" s="241"/>
      <c r="AO468" s="242"/>
      <c r="AP468" s="242"/>
      <c r="AQ468" s="242"/>
      <c r="AR468" s="242"/>
      <c r="AS468" s="242"/>
      <c r="AT468" s="242"/>
      <c r="AU468" s="242"/>
      <c r="AV468" s="242"/>
      <c r="AW468" s="242"/>
      <c r="AX468" s="242"/>
      <c r="AY468" s="242"/>
      <c r="AZ468" s="242"/>
      <c r="BA468" s="242"/>
      <c r="BB468" s="237"/>
      <c r="BC468" s="242"/>
      <c r="BD468" s="242"/>
      <c r="BE468" s="242"/>
      <c r="BF468" s="242"/>
      <c r="BG468" s="242"/>
      <c r="BH468" s="242"/>
      <c r="BI468" s="242"/>
      <c r="BJ468" s="242"/>
      <c r="BK468" s="242"/>
      <c r="BL468" s="242"/>
      <c r="BM468" s="242"/>
      <c r="BN468" s="242"/>
      <c r="BO468" s="242"/>
      <c r="BP468" s="242"/>
    </row>
    <row r="469" spans="1:68" ht="14.25" hidden="1" customHeight="1" outlineLevel="1">
      <c r="A469" s="233"/>
      <c r="B469" s="237"/>
      <c r="C469" s="237"/>
      <c r="D469" s="237"/>
      <c r="E469" s="242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34"/>
      <c r="T469" s="242"/>
      <c r="U469" s="242"/>
      <c r="V469" s="242"/>
      <c r="W469" s="242"/>
      <c r="X469" s="242"/>
      <c r="Y469" s="242"/>
      <c r="Z469" s="242"/>
      <c r="AA469" s="242"/>
      <c r="AB469" s="242"/>
      <c r="AC469" s="242"/>
      <c r="AD469" s="242"/>
      <c r="AE469" s="242"/>
      <c r="AF469" s="242"/>
      <c r="AG469" s="242"/>
      <c r="AH469" s="242"/>
      <c r="AI469" s="242"/>
      <c r="AJ469" s="242"/>
      <c r="AK469" s="242"/>
      <c r="AL469" s="242"/>
      <c r="AM469" s="242"/>
      <c r="AN469" s="241"/>
      <c r="AO469" s="242"/>
      <c r="AP469" s="242"/>
      <c r="AQ469" s="242"/>
      <c r="AR469" s="242"/>
      <c r="AS469" s="242"/>
      <c r="AT469" s="242"/>
      <c r="AU469" s="242"/>
      <c r="AV469" s="242"/>
      <c r="AW469" s="242"/>
      <c r="AX469" s="242"/>
      <c r="AY469" s="242"/>
      <c r="AZ469" s="242"/>
      <c r="BA469" s="242"/>
      <c r="BB469" s="237"/>
      <c r="BC469" s="242"/>
      <c r="BD469" s="242"/>
      <c r="BE469" s="242"/>
      <c r="BF469" s="242"/>
      <c r="BG469" s="242"/>
      <c r="BH469" s="242"/>
      <c r="BI469" s="242"/>
      <c r="BJ469" s="242"/>
      <c r="BK469" s="242"/>
      <c r="BL469" s="242"/>
      <c r="BM469" s="242"/>
      <c r="BN469" s="242"/>
      <c r="BO469" s="242"/>
      <c r="BP469" s="242"/>
    </row>
    <row r="470" spans="1:68" ht="14.25" hidden="1" customHeight="1" outlineLevel="1">
      <c r="A470" s="233"/>
      <c r="B470" s="237"/>
      <c r="C470" s="237"/>
      <c r="D470" s="237"/>
      <c r="E470" s="242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34"/>
      <c r="T470" s="242"/>
      <c r="U470" s="242"/>
      <c r="V470" s="242"/>
      <c r="W470" s="242"/>
      <c r="X470" s="242"/>
      <c r="Y470" s="242"/>
      <c r="Z470" s="242"/>
      <c r="AA470" s="242"/>
      <c r="AB470" s="242"/>
      <c r="AC470" s="242"/>
      <c r="AD470" s="242"/>
      <c r="AE470" s="242"/>
      <c r="AF470" s="242"/>
      <c r="AG470" s="242"/>
      <c r="AH470" s="242"/>
      <c r="AI470" s="242"/>
      <c r="AJ470" s="242"/>
      <c r="AK470" s="242"/>
      <c r="AL470" s="242"/>
      <c r="AM470" s="242"/>
      <c r="AN470" s="241"/>
      <c r="AO470" s="242"/>
      <c r="AP470" s="242"/>
      <c r="AQ470" s="242"/>
      <c r="AR470" s="242"/>
      <c r="AS470" s="242"/>
      <c r="AT470" s="242"/>
      <c r="AU470" s="242"/>
      <c r="AV470" s="242"/>
      <c r="AW470" s="242"/>
      <c r="AX470" s="242"/>
      <c r="AY470" s="242"/>
      <c r="AZ470" s="242"/>
      <c r="BA470" s="242"/>
      <c r="BB470" s="237"/>
      <c r="BC470" s="242"/>
      <c r="BD470" s="242"/>
      <c r="BE470" s="242"/>
      <c r="BF470" s="242"/>
      <c r="BG470" s="242"/>
      <c r="BH470" s="242"/>
      <c r="BI470" s="242"/>
      <c r="BJ470" s="242"/>
      <c r="BK470" s="242"/>
      <c r="BL470" s="242"/>
      <c r="BM470" s="242"/>
      <c r="BN470" s="242"/>
      <c r="BO470" s="242"/>
      <c r="BP470" s="242"/>
    </row>
    <row r="471" spans="1:68" ht="14.25" hidden="1" customHeight="1" outlineLevel="1">
      <c r="A471" s="233"/>
      <c r="B471" s="237"/>
      <c r="C471" s="237"/>
      <c r="D471" s="237"/>
      <c r="E471" s="242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34"/>
      <c r="T471" s="242"/>
      <c r="U471" s="242"/>
      <c r="V471" s="242"/>
      <c r="W471" s="242"/>
      <c r="X471" s="242"/>
      <c r="Y471" s="242"/>
      <c r="Z471" s="242"/>
      <c r="AA471" s="242"/>
      <c r="AB471" s="242"/>
      <c r="AC471" s="242"/>
      <c r="AD471" s="242"/>
      <c r="AE471" s="242"/>
      <c r="AF471" s="242"/>
      <c r="AG471" s="242"/>
      <c r="AH471" s="242"/>
      <c r="AI471" s="242"/>
      <c r="AJ471" s="242"/>
      <c r="AK471" s="242"/>
      <c r="AL471" s="242"/>
      <c r="AM471" s="242"/>
      <c r="AN471" s="241"/>
      <c r="AO471" s="242"/>
      <c r="AP471" s="242"/>
      <c r="AQ471" s="242"/>
      <c r="AR471" s="242"/>
      <c r="AS471" s="242"/>
      <c r="AT471" s="242"/>
      <c r="AU471" s="242"/>
      <c r="AV471" s="242"/>
      <c r="AW471" s="242"/>
      <c r="AX471" s="242"/>
      <c r="AY471" s="242"/>
      <c r="AZ471" s="242"/>
      <c r="BA471" s="242"/>
      <c r="BB471" s="237"/>
      <c r="BC471" s="242"/>
      <c r="BD471" s="242"/>
      <c r="BE471" s="242"/>
      <c r="BF471" s="242"/>
      <c r="BG471" s="242"/>
      <c r="BH471" s="242"/>
      <c r="BI471" s="242"/>
      <c r="BJ471" s="242"/>
      <c r="BK471" s="242"/>
      <c r="BL471" s="242"/>
      <c r="BM471" s="242"/>
      <c r="BN471" s="242"/>
      <c r="BO471" s="242"/>
      <c r="BP471" s="242"/>
    </row>
    <row r="472" spans="1:68" ht="14.25" hidden="1" customHeight="1" outlineLevel="1">
      <c r="A472" s="233"/>
      <c r="B472" s="237"/>
      <c r="C472" s="237"/>
      <c r="D472" s="237"/>
      <c r="E472" s="242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34"/>
      <c r="T472" s="242"/>
      <c r="U472" s="242"/>
      <c r="V472" s="242"/>
      <c r="W472" s="242"/>
      <c r="X472" s="242"/>
      <c r="Y472" s="242"/>
      <c r="Z472" s="242"/>
      <c r="AA472" s="242"/>
      <c r="AB472" s="242"/>
      <c r="AC472" s="242"/>
      <c r="AD472" s="242"/>
      <c r="AE472" s="242"/>
      <c r="AF472" s="242"/>
      <c r="AG472" s="242"/>
      <c r="AH472" s="242"/>
      <c r="AI472" s="242"/>
      <c r="AJ472" s="242"/>
      <c r="AK472" s="242"/>
      <c r="AL472" s="242"/>
      <c r="AM472" s="242"/>
      <c r="AN472" s="241"/>
      <c r="AO472" s="242"/>
      <c r="AP472" s="242"/>
      <c r="AQ472" s="242"/>
      <c r="AR472" s="242"/>
      <c r="AS472" s="242"/>
      <c r="AT472" s="242"/>
      <c r="AU472" s="242"/>
      <c r="AV472" s="242"/>
      <c r="AW472" s="242"/>
      <c r="AX472" s="242"/>
      <c r="AY472" s="242"/>
      <c r="AZ472" s="242"/>
      <c r="BA472" s="242"/>
      <c r="BB472" s="237"/>
      <c r="BC472" s="242"/>
      <c r="BD472" s="242"/>
      <c r="BE472" s="242"/>
      <c r="BF472" s="242"/>
      <c r="BG472" s="242"/>
      <c r="BH472" s="242"/>
      <c r="BI472" s="242"/>
      <c r="BJ472" s="242"/>
      <c r="BK472" s="242"/>
      <c r="BL472" s="242"/>
      <c r="BM472" s="242"/>
      <c r="BN472" s="242"/>
      <c r="BO472" s="242"/>
      <c r="BP472" s="242"/>
    </row>
    <row r="473" spans="1:68" ht="14.25" hidden="1" customHeight="1" outlineLevel="1">
      <c r="A473" s="233"/>
      <c r="B473" s="237"/>
      <c r="C473" s="237"/>
      <c r="D473" s="237"/>
      <c r="E473" s="242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34"/>
      <c r="T473" s="242"/>
      <c r="U473" s="242"/>
      <c r="V473" s="242"/>
      <c r="W473" s="242"/>
      <c r="X473" s="242"/>
      <c r="Y473" s="242"/>
      <c r="Z473" s="242"/>
      <c r="AA473" s="242"/>
      <c r="AB473" s="242"/>
      <c r="AC473" s="242"/>
      <c r="AD473" s="242"/>
      <c r="AE473" s="242"/>
      <c r="AF473" s="242"/>
      <c r="AG473" s="242"/>
      <c r="AH473" s="242"/>
      <c r="AI473" s="242"/>
      <c r="AJ473" s="242"/>
      <c r="AK473" s="242"/>
      <c r="AL473" s="242"/>
      <c r="AM473" s="242"/>
      <c r="AN473" s="241"/>
      <c r="AO473" s="242"/>
      <c r="AP473" s="242"/>
      <c r="AQ473" s="242"/>
      <c r="AR473" s="242"/>
      <c r="AS473" s="242"/>
      <c r="AT473" s="242"/>
      <c r="AU473" s="242"/>
      <c r="AV473" s="242"/>
      <c r="AW473" s="242"/>
      <c r="AX473" s="242"/>
      <c r="AY473" s="242"/>
      <c r="AZ473" s="242"/>
      <c r="BA473" s="242"/>
      <c r="BB473" s="237"/>
      <c r="BC473" s="242"/>
      <c r="BD473" s="242"/>
      <c r="BE473" s="242"/>
      <c r="BF473" s="242"/>
      <c r="BG473" s="242"/>
      <c r="BH473" s="242"/>
      <c r="BI473" s="242"/>
      <c r="BJ473" s="242"/>
      <c r="BK473" s="242"/>
      <c r="BL473" s="242"/>
      <c r="BM473" s="242"/>
      <c r="BN473" s="242"/>
      <c r="BO473" s="242"/>
      <c r="BP473" s="242"/>
    </row>
    <row r="474" spans="1:68" ht="14.25" hidden="1" customHeight="1" outlineLevel="1">
      <c r="A474" s="233"/>
      <c r="B474" s="237"/>
      <c r="C474" s="237"/>
      <c r="D474" s="237"/>
      <c r="E474" s="242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34"/>
      <c r="T474" s="242"/>
      <c r="U474" s="242"/>
      <c r="V474" s="242"/>
      <c r="W474" s="242"/>
      <c r="X474" s="242"/>
      <c r="Y474" s="242"/>
      <c r="Z474" s="242"/>
      <c r="AA474" s="242"/>
      <c r="AB474" s="242"/>
      <c r="AC474" s="242"/>
      <c r="AD474" s="242"/>
      <c r="AE474" s="242"/>
      <c r="AF474" s="242"/>
      <c r="AG474" s="242"/>
      <c r="AH474" s="242"/>
      <c r="AI474" s="242"/>
      <c r="AJ474" s="242"/>
      <c r="AK474" s="242"/>
      <c r="AL474" s="242"/>
      <c r="AM474" s="242"/>
      <c r="AN474" s="241"/>
      <c r="AO474" s="242"/>
      <c r="AP474" s="242"/>
      <c r="AQ474" s="242"/>
      <c r="AR474" s="242"/>
      <c r="AS474" s="242"/>
      <c r="AT474" s="242"/>
      <c r="AU474" s="242"/>
      <c r="AV474" s="242"/>
      <c r="AW474" s="242"/>
      <c r="AX474" s="242"/>
      <c r="AY474" s="242"/>
      <c r="AZ474" s="242"/>
      <c r="BA474" s="242"/>
      <c r="BB474" s="237"/>
      <c r="BC474" s="242"/>
      <c r="BD474" s="242"/>
      <c r="BE474" s="242"/>
      <c r="BF474" s="242"/>
      <c r="BG474" s="242"/>
      <c r="BH474" s="242"/>
      <c r="BI474" s="242"/>
      <c r="BJ474" s="242"/>
      <c r="BK474" s="242"/>
      <c r="BL474" s="242"/>
      <c r="BM474" s="242"/>
      <c r="BN474" s="242"/>
      <c r="BO474" s="242"/>
      <c r="BP474" s="242"/>
    </row>
    <row r="475" spans="1:68" ht="14.25" hidden="1" customHeight="1" outlineLevel="1">
      <c r="A475" s="233"/>
      <c r="B475" s="237"/>
      <c r="C475" s="237"/>
      <c r="D475" s="237"/>
      <c r="E475" s="242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34"/>
      <c r="T475" s="242"/>
      <c r="U475" s="242"/>
      <c r="V475" s="242"/>
      <c r="W475" s="242"/>
      <c r="X475" s="242"/>
      <c r="Y475" s="242"/>
      <c r="Z475" s="242"/>
      <c r="AA475" s="242"/>
      <c r="AB475" s="242"/>
      <c r="AC475" s="242"/>
      <c r="AD475" s="242"/>
      <c r="AE475" s="242"/>
      <c r="AF475" s="242"/>
      <c r="AG475" s="242"/>
      <c r="AH475" s="242"/>
      <c r="AI475" s="242"/>
      <c r="AJ475" s="242"/>
      <c r="AK475" s="242"/>
      <c r="AL475" s="242"/>
      <c r="AM475" s="242"/>
      <c r="AN475" s="241"/>
      <c r="AO475" s="242"/>
      <c r="AP475" s="242"/>
      <c r="AQ475" s="242"/>
      <c r="AR475" s="242"/>
      <c r="AS475" s="242"/>
      <c r="AT475" s="242"/>
      <c r="AU475" s="242"/>
      <c r="AV475" s="242"/>
      <c r="AW475" s="242"/>
      <c r="AX475" s="242"/>
      <c r="AY475" s="242"/>
      <c r="AZ475" s="242"/>
      <c r="BA475" s="242"/>
      <c r="BB475" s="237"/>
      <c r="BC475" s="242"/>
      <c r="BD475" s="242"/>
      <c r="BE475" s="242"/>
      <c r="BF475" s="242"/>
      <c r="BG475" s="242"/>
      <c r="BH475" s="242"/>
      <c r="BI475" s="242"/>
      <c r="BJ475" s="242"/>
      <c r="BK475" s="242"/>
      <c r="BL475" s="242"/>
      <c r="BM475" s="242"/>
      <c r="BN475" s="242"/>
      <c r="BO475" s="242"/>
      <c r="BP475" s="242"/>
    </row>
    <row r="476" spans="1:68" ht="14.25" hidden="1" customHeight="1" outlineLevel="1">
      <c r="A476" s="233"/>
      <c r="B476" s="237"/>
      <c r="C476" s="237"/>
      <c r="D476" s="237"/>
      <c r="E476" s="242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34"/>
      <c r="T476" s="242"/>
      <c r="U476" s="242"/>
      <c r="V476" s="242"/>
      <c r="W476" s="242"/>
      <c r="X476" s="242"/>
      <c r="Y476" s="242"/>
      <c r="Z476" s="242"/>
      <c r="AA476" s="242"/>
      <c r="AB476" s="242"/>
      <c r="AC476" s="242"/>
      <c r="AD476" s="242"/>
      <c r="AE476" s="242"/>
      <c r="AF476" s="242"/>
      <c r="AG476" s="242"/>
      <c r="AH476" s="242"/>
      <c r="AI476" s="242"/>
      <c r="AJ476" s="242"/>
      <c r="AK476" s="242"/>
      <c r="AL476" s="242"/>
      <c r="AM476" s="242"/>
      <c r="AN476" s="241"/>
      <c r="AO476" s="242"/>
      <c r="AP476" s="242"/>
      <c r="AQ476" s="242"/>
      <c r="AR476" s="242"/>
      <c r="AS476" s="242"/>
      <c r="AT476" s="242"/>
      <c r="AU476" s="242"/>
      <c r="AV476" s="242"/>
      <c r="AW476" s="242"/>
      <c r="AX476" s="242"/>
      <c r="AY476" s="242"/>
      <c r="AZ476" s="242"/>
      <c r="BA476" s="242"/>
      <c r="BB476" s="237"/>
      <c r="BC476" s="242"/>
      <c r="BD476" s="242"/>
      <c r="BE476" s="242"/>
      <c r="BF476" s="242"/>
      <c r="BG476" s="242"/>
      <c r="BH476" s="242"/>
      <c r="BI476" s="242"/>
      <c r="BJ476" s="242"/>
      <c r="BK476" s="242"/>
      <c r="BL476" s="242"/>
      <c r="BM476" s="242"/>
      <c r="BN476" s="242"/>
      <c r="BO476" s="242"/>
      <c r="BP476" s="242"/>
    </row>
    <row r="477" spans="1:68" ht="14.25" hidden="1" customHeight="1" outlineLevel="1">
      <c r="A477" s="233"/>
      <c r="B477" s="237"/>
      <c r="C477" s="237"/>
      <c r="D477" s="237"/>
      <c r="E477" s="242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34"/>
      <c r="T477" s="242"/>
      <c r="U477" s="242"/>
      <c r="V477" s="242"/>
      <c r="W477" s="242"/>
      <c r="X477" s="242"/>
      <c r="Y477" s="242"/>
      <c r="Z477" s="242"/>
      <c r="AA477" s="242"/>
      <c r="AB477" s="242"/>
      <c r="AC477" s="242"/>
      <c r="AD477" s="242"/>
      <c r="AE477" s="242"/>
      <c r="AF477" s="242"/>
      <c r="AG477" s="242"/>
      <c r="AH477" s="242"/>
      <c r="AI477" s="242"/>
      <c r="AJ477" s="242"/>
      <c r="AK477" s="242"/>
      <c r="AL477" s="242"/>
      <c r="AM477" s="242"/>
      <c r="AN477" s="241"/>
      <c r="AO477" s="242"/>
      <c r="AP477" s="242"/>
      <c r="AQ477" s="242"/>
      <c r="AR477" s="242"/>
      <c r="AS477" s="242"/>
      <c r="AT477" s="242"/>
      <c r="AU477" s="242"/>
      <c r="AV477" s="242"/>
      <c r="AW477" s="242"/>
      <c r="AX477" s="242"/>
      <c r="AY477" s="242"/>
      <c r="AZ477" s="242"/>
      <c r="BA477" s="242"/>
      <c r="BB477" s="237"/>
      <c r="BC477" s="242"/>
      <c r="BD477" s="242"/>
      <c r="BE477" s="242"/>
      <c r="BF477" s="242"/>
      <c r="BG477" s="242"/>
      <c r="BH477" s="242"/>
      <c r="BI477" s="242"/>
      <c r="BJ477" s="242"/>
      <c r="BK477" s="242"/>
      <c r="BL477" s="242"/>
      <c r="BM477" s="242"/>
      <c r="BN477" s="242"/>
      <c r="BO477" s="242"/>
      <c r="BP477" s="242"/>
    </row>
    <row r="478" spans="1:68" ht="14.25" hidden="1" customHeight="1" outlineLevel="1">
      <c r="A478" s="233"/>
      <c r="B478" s="237"/>
      <c r="C478" s="237"/>
      <c r="D478" s="237"/>
      <c r="E478" s="242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34"/>
      <c r="T478" s="242"/>
      <c r="U478" s="242"/>
      <c r="V478" s="242"/>
      <c r="W478" s="242"/>
      <c r="X478" s="242"/>
      <c r="Y478" s="242"/>
      <c r="Z478" s="242"/>
      <c r="AA478" s="242"/>
      <c r="AB478" s="242"/>
      <c r="AC478" s="242"/>
      <c r="AD478" s="242"/>
      <c r="AE478" s="242"/>
      <c r="AF478" s="242"/>
      <c r="AG478" s="242"/>
      <c r="AH478" s="242"/>
      <c r="AI478" s="242"/>
      <c r="AJ478" s="242"/>
      <c r="AK478" s="242"/>
      <c r="AL478" s="242"/>
      <c r="AM478" s="242"/>
      <c r="AN478" s="241"/>
      <c r="AO478" s="242"/>
      <c r="AP478" s="242"/>
      <c r="AQ478" s="242"/>
      <c r="AR478" s="242"/>
      <c r="AS478" s="242"/>
      <c r="AT478" s="242"/>
      <c r="AU478" s="242"/>
      <c r="AV478" s="242"/>
      <c r="AW478" s="242"/>
      <c r="AX478" s="242"/>
      <c r="AY478" s="242"/>
      <c r="AZ478" s="242"/>
      <c r="BA478" s="242"/>
      <c r="BB478" s="237"/>
      <c r="BC478" s="242"/>
      <c r="BD478" s="242"/>
      <c r="BE478" s="242"/>
      <c r="BF478" s="242"/>
      <c r="BG478" s="242"/>
      <c r="BH478" s="242"/>
      <c r="BI478" s="242"/>
      <c r="BJ478" s="242"/>
      <c r="BK478" s="242"/>
      <c r="BL478" s="242"/>
      <c r="BM478" s="242"/>
      <c r="BN478" s="242"/>
      <c r="BO478" s="242"/>
      <c r="BP478" s="242"/>
    </row>
    <row r="479" spans="1:68" ht="14.25" hidden="1" customHeight="1" outlineLevel="1">
      <c r="A479" s="233"/>
      <c r="B479" s="237"/>
      <c r="C479" s="237"/>
      <c r="D479" s="237"/>
      <c r="E479" s="242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34"/>
      <c r="T479" s="242"/>
      <c r="U479" s="242"/>
      <c r="V479" s="242"/>
      <c r="W479" s="242"/>
      <c r="X479" s="242"/>
      <c r="Y479" s="242"/>
      <c r="Z479" s="242"/>
      <c r="AA479" s="242"/>
      <c r="AB479" s="242"/>
      <c r="AC479" s="242"/>
      <c r="AD479" s="242"/>
      <c r="AE479" s="242"/>
      <c r="AF479" s="242"/>
      <c r="AG479" s="242"/>
      <c r="AH479" s="242"/>
      <c r="AI479" s="242"/>
      <c r="AJ479" s="242"/>
      <c r="AK479" s="242"/>
      <c r="AL479" s="242"/>
      <c r="AM479" s="242"/>
      <c r="AN479" s="241"/>
      <c r="AO479" s="242"/>
      <c r="AP479" s="242"/>
      <c r="AQ479" s="242"/>
      <c r="AR479" s="242"/>
      <c r="AS479" s="242"/>
      <c r="AT479" s="242"/>
      <c r="AU479" s="242"/>
      <c r="AV479" s="242"/>
      <c r="AW479" s="242"/>
      <c r="AX479" s="242"/>
      <c r="AY479" s="242"/>
      <c r="AZ479" s="242"/>
      <c r="BA479" s="242"/>
      <c r="BB479" s="237"/>
      <c r="BC479" s="242"/>
      <c r="BD479" s="242"/>
      <c r="BE479" s="242"/>
      <c r="BF479" s="242"/>
      <c r="BG479" s="242"/>
      <c r="BH479" s="242"/>
      <c r="BI479" s="242"/>
      <c r="BJ479" s="242"/>
      <c r="BK479" s="242"/>
      <c r="BL479" s="242"/>
      <c r="BM479" s="242"/>
      <c r="BN479" s="242"/>
      <c r="BO479" s="242"/>
      <c r="BP479" s="242"/>
    </row>
    <row r="480" spans="1:68" ht="14.25" hidden="1" customHeight="1" outlineLevel="1">
      <c r="A480" s="233"/>
      <c r="B480" s="237"/>
      <c r="C480" s="237"/>
      <c r="D480" s="237"/>
      <c r="E480" s="242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34"/>
      <c r="T480" s="242"/>
      <c r="U480" s="242"/>
      <c r="V480" s="242"/>
      <c r="W480" s="242"/>
      <c r="X480" s="242"/>
      <c r="Y480" s="242"/>
      <c r="Z480" s="242"/>
      <c r="AA480" s="242"/>
      <c r="AB480" s="242"/>
      <c r="AC480" s="242"/>
      <c r="AD480" s="242"/>
      <c r="AE480" s="242"/>
      <c r="AF480" s="242"/>
      <c r="AG480" s="242"/>
      <c r="AH480" s="242"/>
      <c r="AI480" s="242"/>
      <c r="AJ480" s="242"/>
      <c r="AK480" s="242"/>
      <c r="AL480" s="242"/>
      <c r="AM480" s="242"/>
      <c r="AN480" s="241"/>
      <c r="AO480" s="242"/>
      <c r="AP480" s="242"/>
      <c r="AQ480" s="242"/>
      <c r="AR480" s="242"/>
      <c r="AS480" s="242"/>
      <c r="AT480" s="242"/>
      <c r="AU480" s="242"/>
      <c r="AV480" s="242"/>
      <c r="AW480" s="242"/>
      <c r="AX480" s="242"/>
      <c r="AY480" s="242"/>
      <c r="AZ480" s="242"/>
      <c r="BA480" s="242"/>
      <c r="BB480" s="237"/>
      <c r="BC480" s="242"/>
      <c r="BD480" s="242"/>
      <c r="BE480" s="242"/>
      <c r="BF480" s="242"/>
      <c r="BG480" s="242"/>
      <c r="BH480" s="242"/>
      <c r="BI480" s="242"/>
      <c r="BJ480" s="242"/>
      <c r="BK480" s="242"/>
      <c r="BL480" s="242"/>
      <c r="BM480" s="242"/>
      <c r="BN480" s="242"/>
      <c r="BO480" s="242"/>
      <c r="BP480" s="242"/>
    </row>
    <row r="481" spans="1:68" ht="14.25" hidden="1" customHeight="1" outlineLevel="1">
      <c r="A481" s="233"/>
      <c r="B481" s="237"/>
      <c r="C481" s="237"/>
      <c r="D481" s="237"/>
      <c r="E481" s="242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34"/>
      <c r="T481" s="242"/>
      <c r="U481" s="242"/>
      <c r="V481" s="242"/>
      <c r="W481" s="242"/>
      <c r="X481" s="242"/>
      <c r="Y481" s="242"/>
      <c r="Z481" s="242"/>
      <c r="AA481" s="242"/>
      <c r="AB481" s="242"/>
      <c r="AC481" s="242"/>
      <c r="AD481" s="242"/>
      <c r="AE481" s="242"/>
      <c r="AF481" s="242"/>
      <c r="AG481" s="242"/>
      <c r="AH481" s="242"/>
      <c r="AI481" s="242"/>
      <c r="AJ481" s="242"/>
      <c r="AK481" s="242"/>
      <c r="AL481" s="242"/>
      <c r="AM481" s="242"/>
      <c r="AN481" s="241"/>
      <c r="AO481" s="242"/>
      <c r="AP481" s="242"/>
      <c r="AQ481" s="242"/>
      <c r="AR481" s="242"/>
      <c r="AS481" s="242"/>
      <c r="AT481" s="242"/>
      <c r="AU481" s="242"/>
      <c r="AV481" s="242"/>
      <c r="AW481" s="242"/>
      <c r="AX481" s="242"/>
      <c r="AY481" s="242"/>
      <c r="AZ481" s="242"/>
      <c r="BA481" s="242"/>
      <c r="BB481" s="237"/>
      <c r="BC481" s="242"/>
      <c r="BD481" s="242"/>
      <c r="BE481" s="242"/>
      <c r="BF481" s="242"/>
      <c r="BG481" s="242"/>
      <c r="BH481" s="242"/>
      <c r="BI481" s="242"/>
      <c r="BJ481" s="242"/>
      <c r="BK481" s="242"/>
      <c r="BL481" s="242"/>
      <c r="BM481" s="242"/>
      <c r="BN481" s="242"/>
      <c r="BO481" s="242"/>
      <c r="BP481" s="242"/>
    </row>
    <row r="482" spans="1:68" ht="14.25" hidden="1" customHeight="1" outlineLevel="1">
      <c r="A482" s="233"/>
      <c r="B482" s="237"/>
      <c r="C482" s="237"/>
      <c r="D482" s="237"/>
      <c r="E482" s="242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34"/>
      <c r="T482" s="242"/>
      <c r="U482" s="242"/>
      <c r="V482" s="242"/>
      <c r="W482" s="242"/>
      <c r="X482" s="242"/>
      <c r="Y482" s="242"/>
      <c r="Z482" s="242"/>
      <c r="AA482" s="242"/>
      <c r="AB482" s="242"/>
      <c r="AC482" s="242"/>
      <c r="AD482" s="242"/>
      <c r="AE482" s="242"/>
      <c r="AF482" s="242"/>
      <c r="AG482" s="242"/>
      <c r="AH482" s="242"/>
      <c r="AI482" s="242"/>
      <c r="AJ482" s="242"/>
      <c r="AK482" s="242"/>
      <c r="AL482" s="242"/>
      <c r="AM482" s="242"/>
      <c r="AN482" s="241"/>
      <c r="AO482" s="242"/>
      <c r="AP482" s="242"/>
      <c r="AQ482" s="242"/>
      <c r="AR482" s="242"/>
      <c r="AS482" s="242"/>
      <c r="AT482" s="242"/>
      <c r="AU482" s="242"/>
      <c r="AV482" s="242"/>
      <c r="AW482" s="242"/>
      <c r="AX482" s="242"/>
      <c r="AY482" s="242"/>
      <c r="AZ482" s="242"/>
      <c r="BA482" s="242"/>
      <c r="BB482" s="237"/>
      <c r="BC482" s="242"/>
      <c r="BD482" s="242"/>
      <c r="BE482" s="242"/>
      <c r="BF482" s="242"/>
      <c r="BG482" s="242"/>
      <c r="BH482" s="242"/>
      <c r="BI482" s="242"/>
      <c r="BJ482" s="242"/>
      <c r="BK482" s="242"/>
      <c r="BL482" s="242"/>
      <c r="BM482" s="242"/>
      <c r="BN482" s="242"/>
      <c r="BO482" s="242"/>
      <c r="BP482" s="242"/>
    </row>
    <row r="483" spans="1:68" ht="14.25" hidden="1" customHeight="1" outlineLevel="1">
      <c r="A483" s="233"/>
      <c r="B483" s="237"/>
      <c r="C483" s="237"/>
      <c r="D483" s="237"/>
      <c r="E483" s="242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34"/>
      <c r="T483" s="242"/>
      <c r="U483" s="242"/>
      <c r="V483" s="242"/>
      <c r="W483" s="242"/>
      <c r="X483" s="242"/>
      <c r="Y483" s="242"/>
      <c r="Z483" s="242"/>
      <c r="AA483" s="242"/>
      <c r="AB483" s="242"/>
      <c r="AC483" s="242"/>
      <c r="AD483" s="242"/>
      <c r="AE483" s="242"/>
      <c r="AF483" s="242"/>
      <c r="AG483" s="242"/>
      <c r="AH483" s="242"/>
      <c r="AI483" s="242"/>
      <c r="AJ483" s="242"/>
      <c r="AK483" s="242"/>
      <c r="AL483" s="242"/>
      <c r="AM483" s="242"/>
      <c r="AN483" s="241"/>
      <c r="AO483" s="242"/>
      <c r="AP483" s="242"/>
      <c r="AQ483" s="242"/>
      <c r="AR483" s="242"/>
      <c r="AS483" s="242"/>
      <c r="AT483" s="242"/>
      <c r="AU483" s="242"/>
      <c r="AV483" s="242"/>
      <c r="AW483" s="242"/>
      <c r="AX483" s="242"/>
      <c r="AY483" s="242"/>
      <c r="AZ483" s="242"/>
      <c r="BA483" s="242"/>
      <c r="BB483" s="237"/>
      <c r="BC483" s="242"/>
      <c r="BD483" s="242"/>
      <c r="BE483" s="242"/>
      <c r="BF483" s="242"/>
      <c r="BG483" s="242"/>
      <c r="BH483" s="242"/>
      <c r="BI483" s="242"/>
      <c r="BJ483" s="242"/>
      <c r="BK483" s="242"/>
      <c r="BL483" s="242"/>
      <c r="BM483" s="242"/>
      <c r="BN483" s="242"/>
      <c r="BO483" s="242"/>
      <c r="BP483" s="242"/>
    </row>
    <row r="484" spans="1:68" ht="14.25" hidden="1" customHeight="1" outlineLevel="1">
      <c r="A484" s="233"/>
      <c r="B484" s="237"/>
      <c r="C484" s="237"/>
      <c r="D484" s="237"/>
      <c r="E484" s="242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34"/>
      <c r="T484" s="242"/>
      <c r="U484" s="242"/>
      <c r="V484" s="242"/>
      <c r="W484" s="242"/>
      <c r="X484" s="242"/>
      <c r="Y484" s="242"/>
      <c r="Z484" s="242"/>
      <c r="AA484" s="242"/>
      <c r="AB484" s="242"/>
      <c r="AC484" s="242"/>
      <c r="AD484" s="242"/>
      <c r="AE484" s="242"/>
      <c r="AF484" s="242"/>
      <c r="AG484" s="242"/>
      <c r="AH484" s="242"/>
      <c r="AI484" s="242"/>
      <c r="AJ484" s="242"/>
      <c r="AK484" s="242"/>
      <c r="AL484" s="242"/>
      <c r="AM484" s="242"/>
      <c r="AN484" s="241"/>
      <c r="AO484" s="242"/>
      <c r="AP484" s="242"/>
      <c r="AQ484" s="242"/>
      <c r="AR484" s="242"/>
      <c r="AS484" s="242"/>
      <c r="AT484" s="242"/>
      <c r="AU484" s="242"/>
      <c r="AV484" s="242"/>
      <c r="AW484" s="242"/>
      <c r="AX484" s="242"/>
      <c r="AY484" s="242"/>
      <c r="AZ484" s="242"/>
      <c r="BA484" s="242"/>
      <c r="BB484" s="237"/>
      <c r="BC484" s="242"/>
      <c r="BD484" s="242"/>
      <c r="BE484" s="242"/>
      <c r="BF484" s="242"/>
      <c r="BG484" s="242"/>
      <c r="BH484" s="242"/>
      <c r="BI484" s="242"/>
      <c r="BJ484" s="242"/>
      <c r="BK484" s="242"/>
      <c r="BL484" s="242"/>
      <c r="BM484" s="242"/>
      <c r="BN484" s="242"/>
      <c r="BO484" s="242"/>
      <c r="BP484" s="242"/>
    </row>
    <row r="485" spans="1:68" ht="14.25" hidden="1" customHeight="1" outlineLevel="1">
      <c r="A485" s="233"/>
      <c r="B485" s="237"/>
      <c r="C485" s="237"/>
      <c r="D485" s="237"/>
      <c r="E485" s="242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34"/>
      <c r="T485" s="242"/>
      <c r="U485" s="242"/>
      <c r="V485" s="242"/>
      <c r="W485" s="242"/>
      <c r="X485" s="242"/>
      <c r="Y485" s="242"/>
      <c r="Z485" s="242"/>
      <c r="AA485" s="242"/>
      <c r="AB485" s="242"/>
      <c r="AC485" s="242"/>
      <c r="AD485" s="242"/>
      <c r="AE485" s="242"/>
      <c r="AF485" s="242"/>
      <c r="AG485" s="242"/>
      <c r="AH485" s="242"/>
      <c r="AI485" s="242"/>
      <c r="AJ485" s="242"/>
      <c r="AK485" s="242"/>
      <c r="AL485" s="242"/>
      <c r="AM485" s="242"/>
      <c r="AN485" s="241"/>
      <c r="AO485" s="242"/>
      <c r="AP485" s="242"/>
      <c r="AQ485" s="242"/>
      <c r="AR485" s="242"/>
      <c r="AS485" s="242"/>
      <c r="AT485" s="242"/>
      <c r="AU485" s="242"/>
      <c r="AV485" s="242"/>
      <c r="AW485" s="242"/>
      <c r="AX485" s="242"/>
      <c r="AY485" s="242"/>
      <c r="AZ485" s="242"/>
      <c r="BA485" s="242"/>
      <c r="BB485" s="237"/>
      <c r="BC485" s="242"/>
      <c r="BD485" s="242"/>
      <c r="BE485" s="242"/>
      <c r="BF485" s="242"/>
      <c r="BG485" s="242"/>
      <c r="BH485" s="242"/>
      <c r="BI485" s="242"/>
      <c r="BJ485" s="242"/>
      <c r="BK485" s="242"/>
      <c r="BL485" s="242"/>
      <c r="BM485" s="242"/>
      <c r="BN485" s="242"/>
      <c r="BO485" s="242"/>
      <c r="BP485" s="242"/>
    </row>
    <row r="486" spans="1:68" ht="14.25" hidden="1" customHeight="1" outlineLevel="1">
      <c r="A486" s="233"/>
      <c r="B486" s="237"/>
      <c r="C486" s="237"/>
      <c r="D486" s="237"/>
      <c r="E486" s="242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34"/>
      <c r="T486" s="242"/>
      <c r="U486" s="242"/>
      <c r="V486" s="242"/>
      <c r="W486" s="242"/>
      <c r="X486" s="242"/>
      <c r="Y486" s="242"/>
      <c r="Z486" s="242"/>
      <c r="AA486" s="242"/>
      <c r="AB486" s="242"/>
      <c r="AC486" s="242"/>
      <c r="AD486" s="242"/>
      <c r="AE486" s="242"/>
      <c r="AF486" s="242"/>
      <c r="AG486" s="242"/>
      <c r="AH486" s="242"/>
      <c r="AI486" s="242"/>
      <c r="AJ486" s="242"/>
      <c r="AK486" s="242"/>
      <c r="AL486" s="242"/>
      <c r="AM486" s="242"/>
      <c r="AN486" s="241"/>
      <c r="AO486" s="242"/>
      <c r="AP486" s="242"/>
      <c r="AQ486" s="242"/>
      <c r="AR486" s="242"/>
      <c r="AS486" s="242"/>
      <c r="AT486" s="242"/>
      <c r="AU486" s="242"/>
      <c r="AV486" s="242"/>
      <c r="AW486" s="242"/>
      <c r="AX486" s="242"/>
      <c r="AY486" s="242"/>
      <c r="AZ486" s="242"/>
      <c r="BA486" s="242"/>
      <c r="BB486" s="237"/>
      <c r="BC486" s="242"/>
      <c r="BD486" s="242"/>
      <c r="BE486" s="242"/>
      <c r="BF486" s="242"/>
      <c r="BG486" s="242"/>
      <c r="BH486" s="242"/>
      <c r="BI486" s="242"/>
      <c r="BJ486" s="242"/>
      <c r="BK486" s="242"/>
      <c r="BL486" s="242"/>
      <c r="BM486" s="242"/>
      <c r="BN486" s="242"/>
      <c r="BO486" s="242"/>
      <c r="BP486" s="242"/>
    </row>
    <row r="487" spans="1:68" ht="14.25" hidden="1" customHeight="1" outlineLevel="1">
      <c r="A487" s="233"/>
      <c r="B487" s="237"/>
      <c r="C487" s="237"/>
      <c r="D487" s="237"/>
      <c r="E487" s="242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34"/>
      <c r="T487" s="242"/>
      <c r="U487" s="242"/>
      <c r="V487" s="242"/>
      <c r="W487" s="242"/>
      <c r="X487" s="242"/>
      <c r="Y487" s="242"/>
      <c r="Z487" s="242"/>
      <c r="AA487" s="242"/>
      <c r="AB487" s="242"/>
      <c r="AC487" s="242"/>
      <c r="AD487" s="242"/>
      <c r="AE487" s="242"/>
      <c r="AF487" s="242"/>
      <c r="AG487" s="242"/>
      <c r="AH487" s="242"/>
      <c r="AI487" s="242"/>
      <c r="AJ487" s="242"/>
      <c r="AK487" s="242"/>
      <c r="AL487" s="242"/>
      <c r="AM487" s="242"/>
      <c r="AN487" s="241"/>
      <c r="AO487" s="242"/>
      <c r="AP487" s="242"/>
      <c r="AQ487" s="242"/>
      <c r="AR487" s="242"/>
      <c r="AS487" s="242"/>
      <c r="AT487" s="242"/>
      <c r="AU487" s="242"/>
      <c r="AV487" s="242"/>
      <c r="AW487" s="242"/>
      <c r="AX487" s="242"/>
      <c r="AY487" s="242"/>
      <c r="AZ487" s="242"/>
      <c r="BA487" s="242"/>
      <c r="BB487" s="237"/>
      <c r="BC487" s="242"/>
      <c r="BD487" s="242"/>
      <c r="BE487" s="242"/>
      <c r="BF487" s="242"/>
      <c r="BG487" s="242"/>
      <c r="BH487" s="242"/>
      <c r="BI487" s="242"/>
      <c r="BJ487" s="242"/>
      <c r="BK487" s="242"/>
      <c r="BL487" s="242"/>
      <c r="BM487" s="242"/>
      <c r="BN487" s="242"/>
      <c r="BO487" s="242"/>
      <c r="BP487" s="242"/>
    </row>
    <row r="488" spans="1:68" ht="14.25" hidden="1" customHeight="1" outlineLevel="1">
      <c r="A488" s="233"/>
      <c r="B488" s="237"/>
      <c r="C488" s="237"/>
      <c r="D488" s="237"/>
      <c r="E488" s="242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34"/>
      <c r="T488" s="242"/>
      <c r="U488" s="242"/>
      <c r="V488" s="242"/>
      <c r="W488" s="242"/>
      <c r="X488" s="242"/>
      <c r="Y488" s="242"/>
      <c r="Z488" s="242"/>
      <c r="AA488" s="242"/>
      <c r="AB488" s="242"/>
      <c r="AC488" s="242"/>
      <c r="AD488" s="242"/>
      <c r="AE488" s="242"/>
      <c r="AF488" s="242"/>
      <c r="AG488" s="242"/>
      <c r="AH488" s="242"/>
      <c r="AI488" s="242"/>
      <c r="AJ488" s="242"/>
      <c r="AK488" s="242"/>
      <c r="AL488" s="242"/>
      <c r="AM488" s="242"/>
      <c r="AN488" s="241"/>
      <c r="AO488" s="242"/>
      <c r="AP488" s="242"/>
      <c r="AQ488" s="242"/>
      <c r="AR488" s="242"/>
      <c r="AS488" s="242"/>
      <c r="AT488" s="242"/>
      <c r="AU488" s="242"/>
      <c r="AV488" s="242"/>
      <c r="AW488" s="242"/>
      <c r="AX488" s="242"/>
      <c r="AY488" s="242"/>
      <c r="AZ488" s="242"/>
      <c r="BA488" s="242"/>
      <c r="BB488" s="237"/>
      <c r="BC488" s="242"/>
      <c r="BD488" s="242"/>
      <c r="BE488" s="242"/>
      <c r="BF488" s="242"/>
      <c r="BG488" s="242"/>
      <c r="BH488" s="242"/>
      <c r="BI488" s="242"/>
      <c r="BJ488" s="242"/>
      <c r="BK488" s="242"/>
      <c r="BL488" s="242"/>
      <c r="BM488" s="242"/>
      <c r="BN488" s="242"/>
      <c r="BO488" s="242"/>
      <c r="BP488" s="242"/>
    </row>
    <row r="489" spans="1:68" ht="14.25" hidden="1" customHeight="1" outlineLevel="1">
      <c r="A489" s="233"/>
      <c r="B489" s="237"/>
      <c r="C489" s="237"/>
      <c r="D489" s="237"/>
      <c r="E489" s="242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34"/>
      <c r="T489" s="242"/>
      <c r="U489" s="242"/>
      <c r="V489" s="242"/>
      <c r="W489" s="242"/>
      <c r="X489" s="242"/>
      <c r="Y489" s="242"/>
      <c r="Z489" s="242"/>
      <c r="AA489" s="242"/>
      <c r="AB489" s="242"/>
      <c r="AC489" s="242"/>
      <c r="AD489" s="242"/>
      <c r="AE489" s="242"/>
      <c r="AF489" s="242"/>
      <c r="AG489" s="242"/>
      <c r="AH489" s="242"/>
      <c r="AI489" s="242"/>
      <c r="AJ489" s="242"/>
      <c r="AK489" s="242"/>
      <c r="AL489" s="242"/>
      <c r="AM489" s="242"/>
      <c r="AN489" s="241"/>
      <c r="AO489" s="242"/>
      <c r="AP489" s="242"/>
      <c r="AQ489" s="242"/>
      <c r="AR489" s="242"/>
      <c r="AS489" s="242"/>
      <c r="AT489" s="242"/>
      <c r="AU489" s="242"/>
      <c r="AV489" s="242"/>
      <c r="AW489" s="242"/>
      <c r="AX489" s="242"/>
      <c r="AY489" s="242"/>
      <c r="AZ489" s="242"/>
      <c r="BA489" s="242"/>
      <c r="BB489" s="237"/>
      <c r="BC489" s="242"/>
      <c r="BD489" s="242"/>
      <c r="BE489" s="242"/>
      <c r="BF489" s="242"/>
      <c r="BG489" s="242"/>
      <c r="BH489" s="242"/>
      <c r="BI489" s="242"/>
      <c r="BJ489" s="242"/>
      <c r="BK489" s="242"/>
      <c r="BL489" s="242"/>
      <c r="BM489" s="242"/>
      <c r="BN489" s="242"/>
      <c r="BO489" s="242"/>
      <c r="BP489" s="242"/>
    </row>
    <row r="490" spans="1:68" ht="14.25" hidden="1" customHeight="1" outlineLevel="1">
      <c r="A490" s="233"/>
      <c r="B490" s="237"/>
      <c r="C490" s="237"/>
      <c r="D490" s="237"/>
      <c r="E490" s="242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34"/>
      <c r="T490" s="242"/>
      <c r="U490" s="242"/>
      <c r="V490" s="242"/>
      <c r="W490" s="242"/>
      <c r="X490" s="242"/>
      <c r="Y490" s="242"/>
      <c r="Z490" s="242"/>
      <c r="AA490" s="242"/>
      <c r="AB490" s="242"/>
      <c r="AC490" s="242"/>
      <c r="AD490" s="242"/>
      <c r="AE490" s="242"/>
      <c r="AF490" s="242"/>
      <c r="AG490" s="242"/>
      <c r="AH490" s="242"/>
      <c r="AI490" s="242"/>
      <c r="AJ490" s="242"/>
      <c r="AK490" s="242"/>
      <c r="AL490" s="242"/>
      <c r="AM490" s="242"/>
      <c r="AN490" s="241"/>
      <c r="AO490" s="242"/>
      <c r="AP490" s="242"/>
      <c r="AQ490" s="242"/>
      <c r="AR490" s="242"/>
      <c r="AS490" s="242"/>
      <c r="AT490" s="242"/>
      <c r="AU490" s="242"/>
      <c r="AV490" s="242"/>
      <c r="AW490" s="242"/>
      <c r="AX490" s="242"/>
      <c r="AY490" s="242"/>
      <c r="AZ490" s="242"/>
      <c r="BA490" s="242"/>
      <c r="BB490" s="237"/>
      <c r="BC490" s="242"/>
      <c r="BD490" s="242"/>
      <c r="BE490" s="242"/>
      <c r="BF490" s="242"/>
      <c r="BG490" s="242"/>
      <c r="BH490" s="242"/>
      <c r="BI490" s="242"/>
      <c r="BJ490" s="242"/>
      <c r="BK490" s="242"/>
      <c r="BL490" s="242"/>
      <c r="BM490" s="242"/>
      <c r="BN490" s="242"/>
      <c r="BO490" s="242"/>
      <c r="BP490" s="242"/>
    </row>
    <row r="491" spans="1:68" ht="14.25" hidden="1" customHeight="1" outlineLevel="1">
      <c r="A491" s="233"/>
      <c r="B491" s="237"/>
      <c r="C491" s="237"/>
      <c r="D491" s="237"/>
      <c r="E491" s="242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34"/>
      <c r="T491" s="242"/>
      <c r="U491" s="242"/>
      <c r="V491" s="242"/>
      <c r="W491" s="242"/>
      <c r="X491" s="242"/>
      <c r="Y491" s="242"/>
      <c r="Z491" s="242"/>
      <c r="AA491" s="242"/>
      <c r="AB491" s="242"/>
      <c r="AC491" s="242"/>
      <c r="AD491" s="242"/>
      <c r="AE491" s="242"/>
      <c r="AF491" s="242"/>
      <c r="AG491" s="242"/>
      <c r="AH491" s="242"/>
      <c r="AI491" s="242"/>
      <c r="AJ491" s="242"/>
      <c r="AK491" s="242"/>
      <c r="AL491" s="242"/>
      <c r="AM491" s="242"/>
      <c r="AN491" s="241"/>
      <c r="AO491" s="242"/>
      <c r="AP491" s="242"/>
      <c r="AQ491" s="242"/>
      <c r="AR491" s="242"/>
      <c r="AS491" s="242"/>
      <c r="AT491" s="242"/>
      <c r="AU491" s="242"/>
      <c r="AV491" s="242"/>
      <c r="AW491" s="242"/>
      <c r="AX491" s="242"/>
      <c r="AY491" s="242"/>
      <c r="AZ491" s="242"/>
      <c r="BA491" s="242"/>
      <c r="BB491" s="237"/>
      <c r="BC491" s="242"/>
      <c r="BD491" s="242"/>
      <c r="BE491" s="242"/>
      <c r="BF491" s="242"/>
      <c r="BG491" s="242"/>
      <c r="BH491" s="242"/>
      <c r="BI491" s="242"/>
      <c r="BJ491" s="242"/>
      <c r="BK491" s="242"/>
      <c r="BL491" s="242"/>
      <c r="BM491" s="242"/>
      <c r="BN491" s="242"/>
      <c r="BO491" s="242"/>
      <c r="BP491" s="242"/>
    </row>
    <row r="492" spans="1:68" ht="14.25" hidden="1" customHeight="1" outlineLevel="1">
      <c r="A492" s="233"/>
      <c r="B492" s="237"/>
      <c r="C492" s="237"/>
      <c r="D492" s="237"/>
      <c r="E492" s="242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34"/>
      <c r="T492" s="242"/>
      <c r="U492" s="242"/>
      <c r="V492" s="242"/>
      <c r="W492" s="242"/>
      <c r="X492" s="242"/>
      <c r="Y492" s="242"/>
      <c r="Z492" s="242"/>
      <c r="AA492" s="242"/>
      <c r="AB492" s="242"/>
      <c r="AC492" s="242"/>
      <c r="AD492" s="242"/>
      <c r="AE492" s="242"/>
      <c r="AF492" s="242"/>
      <c r="AG492" s="242"/>
      <c r="AH492" s="242"/>
      <c r="AI492" s="242"/>
      <c r="AJ492" s="242"/>
      <c r="AK492" s="242"/>
      <c r="AL492" s="242"/>
      <c r="AM492" s="242"/>
      <c r="AN492" s="241"/>
      <c r="AO492" s="242"/>
      <c r="AP492" s="242"/>
      <c r="AQ492" s="242"/>
      <c r="AR492" s="242"/>
      <c r="AS492" s="242"/>
      <c r="AT492" s="242"/>
      <c r="AU492" s="242"/>
      <c r="AV492" s="242"/>
      <c r="AW492" s="242"/>
      <c r="AX492" s="242"/>
      <c r="AY492" s="242"/>
      <c r="AZ492" s="242"/>
      <c r="BA492" s="242"/>
      <c r="BB492" s="237"/>
      <c r="BC492" s="242"/>
      <c r="BD492" s="242"/>
      <c r="BE492" s="242"/>
      <c r="BF492" s="242"/>
      <c r="BG492" s="242"/>
      <c r="BH492" s="242"/>
      <c r="BI492" s="242"/>
      <c r="BJ492" s="242"/>
      <c r="BK492" s="242"/>
      <c r="BL492" s="242"/>
      <c r="BM492" s="242"/>
      <c r="BN492" s="242"/>
      <c r="BO492" s="242"/>
      <c r="BP492" s="242"/>
    </row>
    <row r="493" spans="1:68" ht="14.25" hidden="1" customHeight="1" outlineLevel="1">
      <c r="A493" s="233"/>
      <c r="B493" s="237"/>
      <c r="C493" s="237"/>
      <c r="D493" s="237"/>
      <c r="E493" s="242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34"/>
      <c r="T493" s="242"/>
      <c r="U493" s="242"/>
      <c r="V493" s="242"/>
      <c r="W493" s="242"/>
      <c r="X493" s="242"/>
      <c r="Y493" s="242"/>
      <c r="Z493" s="242"/>
      <c r="AA493" s="242"/>
      <c r="AB493" s="242"/>
      <c r="AC493" s="242"/>
      <c r="AD493" s="242"/>
      <c r="AE493" s="242"/>
      <c r="AF493" s="242"/>
      <c r="AG493" s="242"/>
      <c r="AH493" s="242"/>
      <c r="AI493" s="242"/>
      <c r="AJ493" s="242"/>
      <c r="AK493" s="242"/>
      <c r="AL493" s="242"/>
      <c r="AM493" s="242"/>
      <c r="AN493" s="241"/>
      <c r="AO493" s="242"/>
      <c r="AP493" s="242"/>
      <c r="AQ493" s="242"/>
      <c r="AR493" s="242"/>
      <c r="AS493" s="242"/>
      <c r="AT493" s="242"/>
      <c r="AU493" s="242"/>
      <c r="AV493" s="242"/>
      <c r="AW493" s="242"/>
      <c r="AX493" s="242"/>
      <c r="AY493" s="242"/>
      <c r="AZ493" s="242"/>
      <c r="BA493" s="242"/>
      <c r="BB493" s="237"/>
      <c r="BC493" s="242"/>
      <c r="BD493" s="242"/>
      <c r="BE493" s="242"/>
      <c r="BF493" s="242"/>
      <c r="BG493" s="242"/>
      <c r="BH493" s="242"/>
      <c r="BI493" s="242"/>
      <c r="BJ493" s="242"/>
      <c r="BK493" s="242"/>
      <c r="BL493" s="242"/>
      <c r="BM493" s="242"/>
      <c r="BN493" s="242"/>
      <c r="BO493" s="242"/>
      <c r="BP493" s="242"/>
    </row>
    <row r="494" spans="1:68" ht="14.25" hidden="1" customHeight="1" outlineLevel="1">
      <c r="A494" s="233"/>
      <c r="B494" s="237"/>
      <c r="C494" s="237"/>
      <c r="D494" s="237"/>
      <c r="E494" s="242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34"/>
      <c r="T494" s="242"/>
      <c r="U494" s="242"/>
      <c r="V494" s="242"/>
      <c r="W494" s="242"/>
      <c r="X494" s="242"/>
      <c r="Y494" s="242"/>
      <c r="Z494" s="242"/>
      <c r="AA494" s="242"/>
      <c r="AB494" s="242"/>
      <c r="AC494" s="242"/>
      <c r="AD494" s="242"/>
      <c r="AE494" s="242"/>
      <c r="AF494" s="242"/>
      <c r="AG494" s="242"/>
      <c r="AH494" s="242"/>
      <c r="AI494" s="242"/>
      <c r="AJ494" s="242"/>
      <c r="AK494" s="242"/>
      <c r="AL494" s="242"/>
      <c r="AM494" s="242"/>
      <c r="AN494" s="241"/>
      <c r="AO494" s="242"/>
      <c r="AP494" s="242"/>
      <c r="AQ494" s="242"/>
      <c r="AR494" s="242"/>
      <c r="AS494" s="242"/>
      <c r="AT494" s="242"/>
      <c r="AU494" s="242"/>
      <c r="AV494" s="242"/>
      <c r="AW494" s="242"/>
      <c r="AX494" s="242"/>
      <c r="AY494" s="242"/>
      <c r="AZ494" s="242"/>
      <c r="BA494" s="242"/>
      <c r="BB494" s="237"/>
      <c r="BC494" s="242"/>
      <c r="BD494" s="242"/>
      <c r="BE494" s="242"/>
      <c r="BF494" s="242"/>
      <c r="BG494" s="242"/>
      <c r="BH494" s="242"/>
      <c r="BI494" s="242"/>
      <c r="BJ494" s="242"/>
      <c r="BK494" s="242"/>
      <c r="BL494" s="242"/>
      <c r="BM494" s="242"/>
      <c r="BN494" s="242"/>
      <c r="BO494" s="242"/>
      <c r="BP494" s="242"/>
    </row>
    <row r="495" spans="1:68" ht="14.25" hidden="1" customHeight="1" outlineLevel="1">
      <c r="A495" s="233"/>
      <c r="B495" s="237"/>
      <c r="C495" s="237"/>
      <c r="D495" s="237"/>
      <c r="E495" s="242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34"/>
      <c r="T495" s="242"/>
      <c r="U495" s="242"/>
      <c r="V495" s="242"/>
      <c r="W495" s="242"/>
      <c r="X495" s="242"/>
      <c r="Y495" s="242"/>
      <c r="Z495" s="242"/>
      <c r="AA495" s="242"/>
      <c r="AB495" s="242"/>
      <c r="AC495" s="242"/>
      <c r="AD495" s="242"/>
      <c r="AE495" s="242"/>
      <c r="AF495" s="242"/>
      <c r="AG495" s="242"/>
      <c r="AH495" s="242"/>
      <c r="AI495" s="242"/>
      <c r="AJ495" s="242"/>
      <c r="AK495" s="242"/>
      <c r="AL495" s="242"/>
      <c r="AM495" s="242"/>
      <c r="AN495" s="241"/>
      <c r="AO495" s="242"/>
      <c r="AP495" s="242"/>
      <c r="AQ495" s="242"/>
      <c r="AR495" s="242"/>
      <c r="AS495" s="242"/>
      <c r="AT495" s="242"/>
      <c r="AU495" s="242"/>
      <c r="AV495" s="242"/>
      <c r="AW495" s="242"/>
      <c r="AX495" s="242"/>
      <c r="AY495" s="242"/>
      <c r="AZ495" s="242"/>
      <c r="BA495" s="242"/>
      <c r="BB495" s="237"/>
      <c r="BC495" s="242"/>
      <c r="BD495" s="242"/>
      <c r="BE495" s="242"/>
      <c r="BF495" s="242"/>
      <c r="BG495" s="242"/>
      <c r="BH495" s="242"/>
      <c r="BI495" s="242"/>
      <c r="BJ495" s="242"/>
      <c r="BK495" s="242"/>
      <c r="BL495" s="242"/>
      <c r="BM495" s="242"/>
      <c r="BN495" s="242"/>
      <c r="BO495" s="242"/>
      <c r="BP495" s="242"/>
    </row>
    <row r="496" spans="1:68" ht="14.25" hidden="1" customHeight="1" outlineLevel="1">
      <c r="A496" s="233"/>
      <c r="B496" s="237"/>
      <c r="C496" s="237"/>
      <c r="D496" s="237"/>
      <c r="E496" s="242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34"/>
      <c r="T496" s="242"/>
      <c r="U496" s="242"/>
      <c r="V496" s="242"/>
      <c r="W496" s="242"/>
      <c r="X496" s="242"/>
      <c r="Y496" s="242"/>
      <c r="Z496" s="242"/>
      <c r="AA496" s="242"/>
      <c r="AB496" s="242"/>
      <c r="AC496" s="242"/>
      <c r="AD496" s="242"/>
      <c r="AE496" s="242"/>
      <c r="AF496" s="242"/>
      <c r="AG496" s="242"/>
      <c r="AH496" s="242"/>
      <c r="AI496" s="242"/>
      <c r="AJ496" s="242"/>
      <c r="AK496" s="242"/>
      <c r="AL496" s="242"/>
      <c r="AM496" s="242"/>
      <c r="AN496" s="241"/>
      <c r="AO496" s="242"/>
      <c r="AP496" s="242"/>
      <c r="AQ496" s="242"/>
      <c r="AR496" s="242"/>
      <c r="AS496" s="242"/>
      <c r="AT496" s="242"/>
      <c r="AU496" s="242"/>
      <c r="AV496" s="242"/>
      <c r="AW496" s="242"/>
      <c r="AX496" s="242"/>
      <c r="AY496" s="242"/>
      <c r="AZ496" s="242"/>
      <c r="BA496" s="242"/>
      <c r="BB496" s="237"/>
      <c r="BC496" s="242"/>
      <c r="BD496" s="242"/>
      <c r="BE496" s="242"/>
      <c r="BF496" s="242"/>
      <c r="BG496" s="242"/>
      <c r="BH496" s="242"/>
      <c r="BI496" s="242"/>
      <c r="BJ496" s="242"/>
      <c r="BK496" s="242"/>
      <c r="BL496" s="242"/>
      <c r="BM496" s="242"/>
      <c r="BN496" s="242"/>
      <c r="BO496" s="242"/>
      <c r="BP496" s="242"/>
    </row>
    <row r="497" spans="1:68" ht="14.25" hidden="1" customHeight="1" outlineLevel="1">
      <c r="A497" s="233"/>
      <c r="B497" s="237"/>
      <c r="C497" s="237"/>
      <c r="D497" s="237"/>
      <c r="E497" s="242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34"/>
      <c r="T497" s="242"/>
      <c r="U497" s="242"/>
      <c r="V497" s="242"/>
      <c r="W497" s="242"/>
      <c r="X497" s="242"/>
      <c r="Y497" s="242"/>
      <c r="Z497" s="242"/>
      <c r="AA497" s="242"/>
      <c r="AB497" s="242"/>
      <c r="AC497" s="242"/>
      <c r="AD497" s="242"/>
      <c r="AE497" s="242"/>
      <c r="AF497" s="242"/>
      <c r="AG497" s="242"/>
      <c r="AH497" s="242"/>
      <c r="AI497" s="242"/>
      <c r="AJ497" s="242"/>
      <c r="AK497" s="242"/>
      <c r="AL497" s="242"/>
      <c r="AM497" s="242"/>
      <c r="AN497" s="241"/>
      <c r="AO497" s="242"/>
      <c r="AP497" s="242"/>
      <c r="AQ497" s="242"/>
      <c r="AR497" s="242"/>
      <c r="AS497" s="242"/>
      <c r="AT497" s="242"/>
      <c r="AU497" s="242"/>
      <c r="AV497" s="242"/>
      <c r="AW497" s="242"/>
      <c r="AX497" s="242"/>
      <c r="AY497" s="242"/>
      <c r="AZ497" s="242"/>
      <c r="BA497" s="242"/>
      <c r="BB497" s="237"/>
      <c r="BC497" s="242"/>
      <c r="BD497" s="242"/>
      <c r="BE497" s="242"/>
      <c r="BF497" s="242"/>
      <c r="BG497" s="242"/>
      <c r="BH497" s="242"/>
      <c r="BI497" s="242"/>
      <c r="BJ497" s="242"/>
      <c r="BK497" s="242"/>
      <c r="BL497" s="242"/>
      <c r="BM497" s="242"/>
      <c r="BN497" s="242"/>
      <c r="BO497" s="242"/>
      <c r="BP497" s="242"/>
    </row>
    <row r="498" spans="1:68" ht="14.25" hidden="1" customHeight="1" outlineLevel="1">
      <c r="A498" s="233"/>
      <c r="B498" s="237"/>
      <c r="C498" s="237"/>
      <c r="D498" s="237"/>
      <c r="E498" s="242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34"/>
      <c r="T498" s="242"/>
      <c r="U498" s="242"/>
      <c r="V498" s="242"/>
      <c r="W498" s="242"/>
      <c r="X498" s="242"/>
      <c r="Y498" s="242"/>
      <c r="Z498" s="242"/>
      <c r="AA498" s="242"/>
      <c r="AB498" s="242"/>
      <c r="AC498" s="242"/>
      <c r="AD498" s="242"/>
      <c r="AE498" s="242"/>
      <c r="AF498" s="242"/>
      <c r="AG498" s="242"/>
      <c r="AH498" s="242"/>
      <c r="AI498" s="242"/>
      <c r="AJ498" s="242"/>
      <c r="AK498" s="242"/>
      <c r="AL498" s="242"/>
      <c r="AM498" s="242"/>
      <c r="AN498" s="241"/>
      <c r="AO498" s="242"/>
      <c r="AP498" s="242"/>
      <c r="AQ498" s="242"/>
      <c r="AR498" s="242"/>
      <c r="AS498" s="242"/>
      <c r="AT498" s="242"/>
      <c r="AU498" s="242"/>
      <c r="AV498" s="242"/>
      <c r="AW498" s="242"/>
      <c r="AX498" s="242"/>
      <c r="AY498" s="242"/>
      <c r="AZ498" s="242"/>
      <c r="BA498" s="242"/>
      <c r="BB498" s="237"/>
      <c r="BC498" s="242"/>
      <c r="BD498" s="242"/>
      <c r="BE498" s="242"/>
      <c r="BF498" s="242"/>
      <c r="BG498" s="242"/>
      <c r="BH498" s="242"/>
      <c r="BI498" s="242"/>
      <c r="BJ498" s="242"/>
      <c r="BK498" s="242"/>
      <c r="BL498" s="242"/>
      <c r="BM498" s="242"/>
      <c r="BN498" s="242"/>
      <c r="BO498" s="242"/>
      <c r="BP498" s="242"/>
    </row>
    <row r="499" spans="1:68" ht="14.25" hidden="1" customHeight="1" outlineLevel="1">
      <c r="A499" s="233"/>
      <c r="B499" s="237"/>
      <c r="C499" s="237"/>
      <c r="D499" s="237"/>
      <c r="E499" s="242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34"/>
      <c r="T499" s="242"/>
      <c r="U499" s="242"/>
      <c r="V499" s="242"/>
      <c r="W499" s="242"/>
      <c r="X499" s="242"/>
      <c r="Y499" s="242"/>
      <c r="Z499" s="242"/>
      <c r="AA499" s="242"/>
      <c r="AB499" s="242"/>
      <c r="AC499" s="242"/>
      <c r="AD499" s="242"/>
      <c r="AE499" s="242"/>
      <c r="AF499" s="242"/>
      <c r="AG499" s="242"/>
      <c r="AH499" s="242"/>
      <c r="AI499" s="242"/>
      <c r="AJ499" s="242"/>
      <c r="AK499" s="242"/>
      <c r="AL499" s="242"/>
      <c r="AM499" s="242"/>
      <c r="AN499" s="241"/>
      <c r="AO499" s="242"/>
      <c r="AP499" s="242"/>
      <c r="AQ499" s="242"/>
      <c r="AR499" s="242"/>
      <c r="AS499" s="242"/>
      <c r="AT499" s="242"/>
      <c r="AU499" s="242"/>
      <c r="AV499" s="242"/>
      <c r="AW499" s="242"/>
      <c r="AX499" s="242"/>
      <c r="AY499" s="242"/>
      <c r="AZ499" s="242"/>
      <c r="BA499" s="242"/>
      <c r="BB499" s="237"/>
      <c r="BC499" s="242"/>
      <c r="BD499" s="242"/>
      <c r="BE499" s="242"/>
      <c r="BF499" s="242"/>
      <c r="BG499" s="242"/>
      <c r="BH499" s="242"/>
      <c r="BI499" s="242"/>
      <c r="BJ499" s="242"/>
      <c r="BK499" s="242"/>
      <c r="BL499" s="242"/>
      <c r="BM499" s="242"/>
      <c r="BN499" s="242"/>
      <c r="BO499" s="242"/>
      <c r="BP499" s="242"/>
    </row>
    <row r="500" spans="1:68" ht="14.25" hidden="1" customHeight="1" outlineLevel="1">
      <c r="A500" s="233"/>
      <c r="B500" s="237"/>
      <c r="C500" s="237"/>
      <c r="D500" s="237"/>
      <c r="E500" s="242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34"/>
      <c r="T500" s="242"/>
      <c r="U500" s="242"/>
      <c r="V500" s="242"/>
      <c r="W500" s="242"/>
      <c r="X500" s="242"/>
      <c r="Y500" s="242"/>
      <c r="Z500" s="242"/>
      <c r="AA500" s="242"/>
      <c r="AB500" s="242"/>
      <c r="AC500" s="242"/>
      <c r="AD500" s="242"/>
      <c r="AE500" s="242"/>
      <c r="AF500" s="242"/>
      <c r="AG500" s="242"/>
      <c r="AH500" s="242"/>
      <c r="AI500" s="242"/>
      <c r="AJ500" s="242"/>
      <c r="AK500" s="242"/>
      <c r="AL500" s="242"/>
      <c r="AM500" s="242"/>
      <c r="AN500" s="241"/>
      <c r="AO500" s="242"/>
      <c r="AP500" s="242"/>
      <c r="AQ500" s="242"/>
      <c r="AR500" s="242"/>
      <c r="AS500" s="242"/>
      <c r="AT500" s="242"/>
      <c r="AU500" s="242"/>
      <c r="AV500" s="242"/>
      <c r="AW500" s="242"/>
      <c r="AX500" s="242"/>
      <c r="AY500" s="242"/>
      <c r="AZ500" s="242"/>
      <c r="BA500" s="242"/>
      <c r="BB500" s="237"/>
      <c r="BC500" s="242"/>
      <c r="BD500" s="242"/>
      <c r="BE500" s="242"/>
      <c r="BF500" s="242"/>
      <c r="BG500" s="242"/>
      <c r="BH500" s="242"/>
      <c r="BI500" s="242"/>
      <c r="BJ500" s="242"/>
      <c r="BK500" s="242"/>
      <c r="BL500" s="242"/>
      <c r="BM500" s="242"/>
      <c r="BN500" s="242"/>
      <c r="BO500" s="242"/>
      <c r="BP500" s="242"/>
    </row>
    <row r="501" spans="1:68" ht="14.25" hidden="1" customHeight="1" outlineLevel="1">
      <c r="A501" s="233"/>
      <c r="B501" s="237"/>
      <c r="C501" s="237"/>
      <c r="D501" s="237"/>
      <c r="E501" s="242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34"/>
      <c r="T501" s="242"/>
      <c r="U501" s="242"/>
      <c r="V501" s="242"/>
      <c r="W501" s="242"/>
      <c r="X501" s="242"/>
      <c r="Y501" s="242"/>
      <c r="Z501" s="242"/>
      <c r="AA501" s="242"/>
      <c r="AB501" s="242"/>
      <c r="AC501" s="242"/>
      <c r="AD501" s="242"/>
      <c r="AE501" s="242"/>
      <c r="AF501" s="242"/>
      <c r="AG501" s="242"/>
      <c r="AH501" s="242"/>
      <c r="AI501" s="242"/>
      <c r="AJ501" s="242"/>
      <c r="AK501" s="242"/>
      <c r="AL501" s="242"/>
      <c r="AM501" s="242"/>
      <c r="AN501" s="241"/>
      <c r="AO501" s="242"/>
      <c r="AP501" s="242"/>
      <c r="AQ501" s="242"/>
      <c r="AR501" s="242"/>
      <c r="AS501" s="242"/>
      <c r="AT501" s="242"/>
      <c r="AU501" s="242"/>
      <c r="AV501" s="242"/>
      <c r="AW501" s="242"/>
      <c r="AX501" s="242"/>
      <c r="AY501" s="242"/>
      <c r="AZ501" s="242"/>
      <c r="BA501" s="242"/>
      <c r="BB501" s="237"/>
      <c r="BC501" s="242"/>
      <c r="BD501" s="242"/>
      <c r="BE501" s="242"/>
      <c r="BF501" s="242"/>
      <c r="BG501" s="242"/>
      <c r="BH501" s="242"/>
      <c r="BI501" s="242"/>
      <c r="BJ501" s="242"/>
      <c r="BK501" s="242"/>
      <c r="BL501" s="242"/>
      <c r="BM501" s="242"/>
      <c r="BN501" s="242"/>
      <c r="BO501" s="242"/>
      <c r="BP501" s="242"/>
    </row>
    <row r="502" spans="1:68" ht="14.25" hidden="1" customHeight="1" outlineLevel="1">
      <c r="A502" s="233"/>
      <c r="B502" s="237"/>
      <c r="C502" s="237"/>
      <c r="D502" s="237"/>
      <c r="E502" s="242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34"/>
      <c r="T502" s="242"/>
      <c r="U502" s="242"/>
      <c r="V502" s="242"/>
      <c r="W502" s="242"/>
      <c r="X502" s="242"/>
      <c r="Y502" s="242"/>
      <c r="Z502" s="242"/>
      <c r="AA502" s="242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2"/>
      <c r="AN502" s="241"/>
      <c r="AO502" s="242"/>
      <c r="AP502" s="242"/>
      <c r="AQ502" s="242"/>
      <c r="AR502" s="242"/>
      <c r="AS502" s="242"/>
      <c r="AT502" s="242"/>
      <c r="AU502" s="242"/>
      <c r="AV502" s="242"/>
      <c r="AW502" s="242"/>
      <c r="AX502" s="242"/>
      <c r="AY502" s="242"/>
      <c r="AZ502" s="242"/>
      <c r="BA502" s="242"/>
      <c r="BB502" s="237"/>
      <c r="BC502" s="242"/>
      <c r="BD502" s="242"/>
      <c r="BE502" s="242"/>
      <c r="BF502" s="242"/>
      <c r="BG502" s="242"/>
      <c r="BH502" s="242"/>
      <c r="BI502" s="242"/>
      <c r="BJ502" s="242"/>
      <c r="BK502" s="242"/>
      <c r="BL502" s="242"/>
      <c r="BM502" s="242"/>
      <c r="BN502" s="242"/>
      <c r="BO502" s="242"/>
      <c r="BP502" s="242"/>
    </row>
    <row r="503" spans="1:68" ht="14.25" hidden="1" customHeight="1" outlineLevel="1">
      <c r="A503" s="233"/>
      <c r="B503" s="237"/>
      <c r="C503" s="237"/>
      <c r="D503" s="237"/>
      <c r="E503" s="242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34"/>
      <c r="T503" s="242"/>
      <c r="U503" s="242"/>
      <c r="V503" s="242"/>
      <c r="W503" s="242"/>
      <c r="X503" s="242"/>
      <c r="Y503" s="242"/>
      <c r="Z503" s="242"/>
      <c r="AA503" s="242"/>
      <c r="AB503" s="242"/>
      <c r="AC503" s="242"/>
      <c r="AD503" s="242"/>
      <c r="AE503" s="242"/>
      <c r="AF503" s="242"/>
      <c r="AG503" s="242"/>
      <c r="AH503" s="242"/>
      <c r="AI503" s="242"/>
      <c r="AJ503" s="242"/>
      <c r="AK503" s="242"/>
      <c r="AL503" s="242"/>
      <c r="AM503" s="242"/>
      <c r="AN503" s="241"/>
      <c r="AO503" s="242"/>
      <c r="AP503" s="242"/>
      <c r="AQ503" s="242"/>
      <c r="AR503" s="242"/>
      <c r="AS503" s="242"/>
      <c r="AT503" s="242"/>
      <c r="AU503" s="242"/>
      <c r="AV503" s="242"/>
      <c r="AW503" s="242"/>
      <c r="AX503" s="242"/>
      <c r="AY503" s="242"/>
      <c r="AZ503" s="242"/>
      <c r="BA503" s="242"/>
      <c r="BB503" s="237"/>
      <c r="BC503" s="242"/>
      <c r="BD503" s="242"/>
      <c r="BE503" s="242"/>
      <c r="BF503" s="242"/>
      <c r="BG503" s="242"/>
      <c r="BH503" s="242"/>
      <c r="BI503" s="242"/>
      <c r="BJ503" s="242"/>
      <c r="BK503" s="242"/>
      <c r="BL503" s="242"/>
      <c r="BM503" s="242"/>
      <c r="BN503" s="242"/>
      <c r="BO503" s="242"/>
      <c r="BP503" s="242"/>
    </row>
    <row r="504" spans="1:68" ht="14.25" hidden="1" customHeight="1" outlineLevel="1">
      <c r="A504" s="233"/>
      <c r="B504" s="237"/>
      <c r="C504" s="237"/>
      <c r="D504" s="237"/>
      <c r="E504" s="242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34"/>
      <c r="T504" s="242"/>
      <c r="U504" s="242"/>
      <c r="V504" s="242"/>
      <c r="W504" s="242"/>
      <c r="X504" s="242"/>
      <c r="Y504" s="242"/>
      <c r="Z504" s="242"/>
      <c r="AA504" s="242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2"/>
      <c r="AN504" s="241"/>
      <c r="AO504" s="242"/>
      <c r="AP504" s="242"/>
      <c r="AQ504" s="242"/>
      <c r="AR504" s="242"/>
      <c r="AS504" s="242"/>
      <c r="AT504" s="242"/>
      <c r="AU504" s="242"/>
      <c r="AV504" s="242"/>
      <c r="AW504" s="242"/>
      <c r="AX504" s="242"/>
      <c r="AY504" s="242"/>
      <c r="AZ504" s="242"/>
      <c r="BA504" s="242"/>
      <c r="BB504" s="237"/>
      <c r="BC504" s="242"/>
      <c r="BD504" s="242"/>
      <c r="BE504" s="242"/>
      <c r="BF504" s="242"/>
      <c r="BG504" s="242"/>
      <c r="BH504" s="242"/>
      <c r="BI504" s="242"/>
      <c r="BJ504" s="242"/>
      <c r="BK504" s="242"/>
      <c r="BL504" s="242"/>
      <c r="BM504" s="242"/>
      <c r="BN504" s="242"/>
      <c r="BO504" s="242"/>
      <c r="BP504" s="242"/>
    </row>
    <row r="505" spans="1:68" ht="14.25" hidden="1" customHeight="1" outlineLevel="1">
      <c r="A505" s="233"/>
      <c r="B505" s="237"/>
      <c r="C505" s="237"/>
      <c r="D505" s="237"/>
      <c r="E505" s="242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34"/>
      <c r="T505" s="242"/>
      <c r="U505" s="242"/>
      <c r="V505" s="242"/>
      <c r="W505" s="242"/>
      <c r="X505" s="242"/>
      <c r="Y505" s="242"/>
      <c r="Z505" s="242"/>
      <c r="AA505" s="242"/>
      <c r="AB505" s="242"/>
      <c r="AC505" s="242"/>
      <c r="AD505" s="242"/>
      <c r="AE505" s="242"/>
      <c r="AF505" s="242"/>
      <c r="AG505" s="242"/>
      <c r="AH505" s="242"/>
      <c r="AI505" s="242"/>
      <c r="AJ505" s="242"/>
      <c r="AK505" s="242"/>
      <c r="AL505" s="242"/>
      <c r="AM505" s="242"/>
      <c r="AN505" s="241"/>
      <c r="AO505" s="242"/>
      <c r="AP505" s="242"/>
      <c r="AQ505" s="242"/>
      <c r="AR505" s="242"/>
      <c r="AS505" s="242"/>
      <c r="AT505" s="242"/>
      <c r="AU505" s="242"/>
      <c r="AV505" s="242"/>
      <c r="AW505" s="242"/>
      <c r="AX505" s="242"/>
      <c r="AY505" s="242"/>
      <c r="AZ505" s="242"/>
      <c r="BA505" s="242"/>
      <c r="BB505" s="237"/>
      <c r="BC505" s="242"/>
      <c r="BD505" s="242"/>
      <c r="BE505" s="242"/>
      <c r="BF505" s="242"/>
      <c r="BG505" s="242"/>
      <c r="BH505" s="242"/>
      <c r="BI505" s="242"/>
      <c r="BJ505" s="242"/>
      <c r="BK505" s="242"/>
      <c r="BL505" s="242"/>
      <c r="BM505" s="242"/>
      <c r="BN505" s="242"/>
      <c r="BO505" s="242"/>
      <c r="BP505" s="242"/>
    </row>
    <row r="506" spans="1:68" ht="14.25" hidden="1" customHeight="1" outlineLevel="1">
      <c r="A506" s="233"/>
      <c r="B506" s="237"/>
      <c r="C506" s="237"/>
      <c r="D506" s="237"/>
      <c r="E506" s="242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34"/>
      <c r="T506" s="242"/>
      <c r="U506" s="242"/>
      <c r="V506" s="242"/>
      <c r="W506" s="242"/>
      <c r="X506" s="242"/>
      <c r="Y506" s="242"/>
      <c r="Z506" s="242"/>
      <c r="AA506" s="242"/>
      <c r="AB506" s="242"/>
      <c r="AC506" s="242"/>
      <c r="AD506" s="242"/>
      <c r="AE506" s="242"/>
      <c r="AF506" s="242"/>
      <c r="AG506" s="242"/>
      <c r="AH506" s="242"/>
      <c r="AI506" s="242"/>
      <c r="AJ506" s="242"/>
      <c r="AK506" s="242"/>
      <c r="AL506" s="242"/>
      <c r="AM506" s="242"/>
      <c r="AN506" s="241"/>
      <c r="AO506" s="242"/>
      <c r="AP506" s="242"/>
      <c r="AQ506" s="242"/>
      <c r="AR506" s="242"/>
      <c r="AS506" s="242"/>
      <c r="AT506" s="242"/>
      <c r="AU506" s="242"/>
      <c r="AV506" s="242"/>
      <c r="AW506" s="242"/>
      <c r="AX506" s="242"/>
      <c r="AY506" s="242"/>
      <c r="AZ506" s="242"/>
      <c r="BA506" s="242"/>
      <c r="BB506" s="237"/>
      <c r="BC506" s="242"/>
      <c r="BD506" s="242"/>
      <c r="BE506" s="242"/>
      <c r="BF506" s="242"/>
      <c r="BG506" s="242"/>
      <c r="BH506" s="242"/>
      <c r="BI506" s="242"/>
      <c r="BJ506" s="242"/>
      <c r="BK506" s="242"/>
      <c r="BL506" s="242"/>
      <c r="BM506" s="242"/>
      <c r="BN506" s="242"/>
      <c r="BO506" s="242"/>
      <c r="BP506" s="242"/>
    </row>
    <row r="507" spans="1:68" ht="14.25" hidden="1" customHeight="1" outlineLevel="1">
      <c r="A507" s="233"/>
      <c r="B507" s="237"/>
      <c r="C507" s="237"/>
      <c r="D507" s="237"/>
      <c r="E507" s="242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34"/>
      <c r="T507" s="242"/>
      <c r="U507" s="242"/>
      <c r="V507" s="242"/>
      <c r="W507" s="242"/>
      <c r="X507" s="242"/>
      <c r="Y507" s="242"/>
      <c r="Z507" s="242"/>
      <c r="AA507" s="242"/>
      <c r="AB507" s="242"/>
      <c r="AC507" s="242"/>
      <c r="AD507" s="242"/>
      <c r="AE507" s="242"/>
      <c r="AF507" s="242"/>
      <c r="AG507" s="242"/>
      <c r="AH507" s="242"/>
      <c r="AI507" s="242"/>
      <c r="AJ507" s="242"/>
      <c r="AK507" s="242"/>
      <c r="AL507" s="242"/>
      <c r="AM507" s="242"/>
      <c r="AN507" s="241"/>
      <c r="AO507" s="242"/>
      <c r="AP507" s="242"/>
      <c r="AQ507" s="242"/>
      <c r="AR507" s="242"/>
      <c r="AS507" s="242"/>
      <c r="AT507" s="242"/>
      <c r="AU507" s="242"/>
      <c r="AV507" s="242"/>
      <c r="AW507" s="242"/>
      <c r="AX507" s="242"/>
      <c r="AY507" s="242"/>
      <c r="AZ507" s="242"/>
      <c r="BA507" s="242"/>
      <c r="BB507" s="237"/>
      <c r="BC507" s="242"/>
      <c r="BD507" s="242"/>
      <c r="BE507" s="242"/>
      <c r="BF507" s="242"/>
      <c r="BG507" s="242"/>
      <c r="BH507" s="242"/>
      <c r="BI507" s="242"/>
      <c r="BJ507" s="242"/>
      <c r="BK507" s="242"/>
      <c r="BL507" s="242"/>
      <c r="BM507" s="242"/>
      <c r="BN507" s="242"/>
      <c r="BO507" s="242"/>
      <c r="BP507" s="242"/>
    </row>
    <row r="508" spans="1:68" ht="14.25" hidden="1" customHeight="1" outlineLevel="1">
      <c r="A508" s="233"/>
      <c r="B508" s="237"/>
      <c r="C508" s="237"/>
      <c r="D508" s="237"/>
      <c r="E508" s="242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34"/>
      <c r="T508" s="242"/>
      <c r="U508" s="242"/>
      <c r="V508" s="242"/>
      <c r="W508" s="242"/>
      <c r="X508" s="242"/>
      <c r="Y508" s="242"/>
      <c r="Z508" s="242"/>
      <c r="AA508" s="242"/>
      <c r="AB508" s="242"/>
      <c r="AC508" s="242"/>
      <c r="AD508" s="242"/>
      <c r="AE508" s="242"/>
      <c r="AF508" s="242"/>
      <c r="AG508" s="242"/>
      <c r="AH508" s="242"/>
      <c r="AI508" s="242"/>
      <c r="AJ508" s="242"/>
      <c r="AK508" s="242"/>
      <c r="AL508" s="242"/>
      <c r="AM508" s="242"/>
      <c r="AN508" s="241"/>
      <c r="AO508" s="242"/>
      <c r="AP508" s="242"/>
      <c r="AQ508" s="242"/>
      <c r="AR508" s="242"/>
      <c r="AS508" s="242"/>
      <c r="AT508" s="242"/>
      <c r="AU508" s="242"/>
      <c r="AV508" s="242"/>
      <c r="AW508" s="242"/>
      <c r="AX508" s="242"/>
      <c r="AY508" s="242"/>
      <c r="AZ508" s="242"/>
      <c r="BA508" s="242"/>
      <c r="BB508" s="237"/>
      <c r="BC508" s="242"/>
      <c r="BD508" s="242"/>
      <c r="BE508" s="242"/>
      <c r="BF508" s="242"/>
      <c r="BG508" s="242"/>
      <c r="BH508" s="242"/>
      <c r="BI508" s="242"/>
      <c r="BJ508" s="242"/>
      <c r="BK508" s="242"/>
      <c r="BL508" s="242"/>
      <c r="BM508" s="242"/>
      <c r="BN508" s="242"/>
      <c r="BO508" s="242"/>
      <c r="BP508" s="242"/>
    </row>
    <row r="509" spans="1:68" ht="14.25" hidden="1" customHeight="1" outlineLevel="1">
      <c r="A509" s="233"/>
      <c r="B509" s="237"/>
      <c r="C509" s="237"/>
      <c r="D509" s="237"/>
      <c r="E509" s="242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34"/>
      <c r="T509" s="242"/>
      <c r="U509" s="242"/>
      <c r="V509" s="242"/>
      <c r="W509" s="242"/>
      <c r="X509" s="242"/>
      <c r="Y509" s="242"/>
      <c r="Z509" s="242"/>
      <c r="AA509" s="242"/>
      <c r="AB509" s="242"/>
      <c r="AC509" s="242"/>
      <c r="AD509" s="242"/>
      <c r="AE509" s="242"/>
      <c r="AF509" s="242"/>
      <c r="AG509" s="242"/>
      <c r="AH509" s="242"/>
      <c r="AI509" s="242"/>
      <c r="AJ509" s="242"/>
      <c r="AK509" s="242"/>
      <c r="AL509" s="242"/>
      <c r="AM509" s="242"/>
      <c r="AN509" s="241"/>
      <c r="AO509" s="242"/>
      <c r="AP509" s="242"/>
      <c r="AQ509" s="242"/>
      <c r="AR509" s="242"/>
      <c r="AS509" s="242"/>
      <c r="AT509" s="242"/>
      <c r="AU509" s="242"/>
      <c r="AV509" s="242"/>
      <c r="AW509" s="242"/>
      <c r="AX509" s="242"/>
      <c r="AY509" s="242"/>
      <c r="AZ509" s="242"/>
      <c r="BA509" s="242"/>
      <c r="BB509" s="237"/>
      <c r="BC509" s="242"/>
      <c r="BD509" s="242"/>
      <c r="BE509" s="242"/>
      <c r="BF509" s="242"/>
      <c r="BG509" s="242"/>
      <c r="BH509" s="242"/>
      <c r="BI509" s="242"/>
      <c r="BJ509" s="242"/>
      <c r="BK509" s="242"/>
      <c r="BL509" s="242"/>
      <c r="BM509" s="242"/>
      <c r="BN509" s="242"/>
      <c r="BO509" s="242"/>
      <c r="BP509" s="242"/>
    </row>
    <row r="510" spans="1:68" ht="14.25" hidden="1" customHeight="1" outlineLevel="1">
      <c r="A510" s="233"/>
      <c r="B510" s="237"/>
      <c r="C510" s="237"/>
      <c r="D510" s="237"/>
      <c r="E510" s="242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34"/>
      <c r="T510" s="242"/>
      <c r="U510" s="242"/>
      <c r="V510" s="242"/>
      <c r="W510" s="242"/>
      <c r="X510" s="242"/>
      <c r="Y510" s="242"/>
      <c r="Z510" s="242"/>
      <c r="AA510" s="242"/>
      <c r="AB510" s="242"/>
      <c r="AC510" s="242"/>
      <c r="AD510" s="242"/>
      <c r="AE510" s="242"/>
      <c r="AF510" s="242"/>
      <c r="AG510" s="242"/>
      <c r="AH510" s="242"/>
      <c r="AI510" s="242"/>
      <c r="AJ510" s="242"/>
      <c r="AK510" s="242"/>
      <c r="AL510" s="242"/>
      <c r="AM510" s="242"/>
      <c r="AN510" s="241"/>
      <c r="AO510" s="242"/>
      <c r="AP510" s="242"/>
      <c r="AQ510" s="242"/>
      <c r="AR510" s="242"/>
      <c r="AS510" s="242"/>
      <c r="AT510" s="242"/>
      <c r="AU510" s="242"/>
      <c r="AV510" s="242"/>
      <c r="AW510" s="242"/>
      <c r="AX510" s="242"/>
      <c r="AY510" s="242"/>
      <c r="AZ510" s="242"/>
      <c r="BA510" s="242"/>
      <c r="BB510" s="237"/>
      <c r="BC510" s="242"/>
      <c r="BD510" s="242"/>
      <c r="BE510" s="242"/>
      <c r="BF510" s="242"/>
      <c r="BG510" s="242"/>
      <c r="BH510" s="242"/>
      <c r="BI510" s="242"/>
      <c r="BJ510" s="242"/>
      <c r="BK510" s="242"/>
      <c r="BL510" s="242"/>
      <c r="BM510" s="242"/>
      <c r="BN510" s="242"/>
      <c r="BO510" s="242"/>
      <c r="BP510" s="242"/>
    </row>
    <row r="511" spans="1:68" ht="14.25" hidden="1" customHeight="1" outlineLevel="1">
      <c r="A511" s="233"/>
      <c r="B511" s="237"/>
      <c r="C511" s="237"/>
      <c r="D511" s="237"/>
      <c r="E511" s="242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34"/>
      <c r="T511" s="242"/>
      <c r="U511" s="242"/>
      <c r="V511" s="242"/>
      <c r="W511" s="242"/>
      <c r="X511" s="242"/>
      <c r="Y511" s="242"/>
      <c r="Z511" s="242"/>
      <c r="AA511" s="242"/>
      <c r="AB511" s="242"/>
      <c r="AC511" s="242"/>
      <c r="AD511" s="242"/>
      <c r="AE511" s="242"/>
      <c r="AF511" s="242"/>
      <c r="AG511" s="242"/>
      <c r="AH511" s="242"/>
      <c r="AI511" s="242"/>
      <c r="AJ511" s="242"/>
      <c r="AK511" s="242"/>
      <c r="AL511" s="242"/>
      <c r="AM511" s="242"/>
      <c r="AN511" s="241"/>
      <c r="AO511" s="242"/>
      <c r="AP511" s="242"/>
      <c r="AQ511" s="242"/>
      <c r="AR511" s="242"/>
      <c r="AS511" s="242"/>
      <c r="AT511" s="242"/>
      <c r="AU511" s="242"/>
      <c r="AV511" s="242"/>
      <c r="AW511" s="242"/>
      <c r="AX511" s="242"/>
      <c r="AY511" s="242"/>
      <c r="AZ511" s="242"/>
      <c r="BA511" s="242"/>
      <c r="BB511" s="237"/>
      <c r="BC511" s="242"/>
      <c r="BD511" s="242"/>
      <c r="BE511" s="242"/>
      <c r="BF511" s="242"/>
      <c r="BG511" s="242"/>
      <c r="BH511" s="242"/>
      <c r="BI511" s="242"/>
      <c r="BJ511" s="242"/>
      <c r="BK511" s="242"/>
      <c r="BL511" s="242"/>
      <c r="BM511" s="242"/>
      <c r="BN511" s="242"/>
      <c r="BO511" s="242"/>
      <c r="BP511" s="242"/>
    </row>
    <row r="512" spans="1:68" ht="14.25" hidden="1" customHeight="1" outlineLevel="1">
      <c r="A512" s="233"/>
      <c r="B512" s="237"/>
      <c r="C512" s="237"/>
      <c r="D512" s="237"/>
      <c r="E512" s="242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34"/>
      <c r="T512" s="242"/>
      <c r="U512" s="242"/>
      <c r="V512" s="242"/>
      <c r="W512" s="242"/>
      <c r="X512" s="242"/>
      <c r="Y512" s="242"/>
      <c r="Z512" s="242"/>
      <c r="AA512" s="242"/>
      <c r="AB512" s="242"/>
      <c r="AC512" s="242"/>
      <c r="AD512" s="242"/>
      <c r="AE512" s="242"/>
      <c r="AF512" s="242"/>
      <c r="AG512" s="242"/>
      <c r="AH512" s="242"/>
      <c r="AI512" s="242"/>
      <c r="AJ512" s="242"/>
      <c r="AK512" s="242"/>
      <c r="AL512" s="242"/>
      <c r="AM512" s="242"/>
      <c r="AN512" s="241"/>
      <c r="AO512" s="242"/>
      <c r="AP512" s="242"/>
      <c r="AQ512" s="242"/>
      <c r="AR512" s="242"/>
      <c r="AS512" s="242"/>
      <c r="AT512" s="242"/>
      <c r="AU512" s="242"/>
      <c r="AV512" s="242"/>
      <c r="AW512" s="242"/>
      <c r="AX512" s="242"/>
      <c r="AY512" s="242"/>
      <c r="AZ512" s="242"/>
      <c r="BA512" s="242"/>
      <c r="BB512" s="237"/>
      <c r="BC512" s="242"/>
      <c r="BD512" s="242"/>
      <c r="BE512" s="242"/>
      <c r="BF512" s="242"/>
      <c r="BG512" s="242"/>
      <c r="BH512" s="242"/>
      <c r="BI512" s="242"/>
      <c r="BJ512" s="242"/>
      <c r="BK512" s="242"/>
      <c r="BL512" s="242"/>
      <c r="BM512" s="242"/>
      <c r="BN512" s="242"/>
      <c r="BO512" s="242"/>
      <c r="BP512" s="242"/>
    </row>
    <row r="513" spans="1:68" ht="14.25" hidden="1" customHeight="1" outlineLevel="1">
      <c r="A513" s="233"/>
      <c r="B513" s="237"/>
      <c r="C513" s="237"/>
      <c r="D513" s="237"/>
      <c r="E513" s="242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34"/>
      <c r="T513" s="242"/>
      <c r="U513" s="242"/>
      <c r="V513" s="242"/>
      <c r="W513" s="242"/>
      <c r="X513" s="242"/>
      <c r="Y513" s="242"/>
      <c r="Z513" s="242"/>
      <c r="AA513" s="242"/>
      <c r="AB513" s="242"/>
      <c r="AC513" s="242"/>
      <c r="AD513" s="242"/>
      <c r="AE513" s="242"/>
      <c r="AF513" s="242"/>
      <c r="AG513" s="242"/>
      <c r="AH513" s="242"/>
      <c r="AI513" s="242"/>
      <c r="AJ513" s="242"/>
      <c r="AK513" s="242"/>
      <c r="AL513" s="242"/>
      <c r="AM513" s="242"/>
      <c r="AN513" s="241"/>
      <c r="AO513" s="242"/>
      <c r="AP513" s="242"/>
      <c r="AQ513" s="242"/>
      <c r="AR513" s="242"/>
      <c r="AS513" s="242"/>
      <c r="AT513" s="242"/>
      <c r="AU513" s="242"/>
      <c r="AV513" s="242"/>
      <c r="AW513" s="242"/>
      <c r="AX513" s="242"/>
      <c r="AY513" s="242"/>
      <c r="AZ513" s="242"/>
      <c r="BA513" s="242"/>
      <c r="BB513" s="237"/>
      <c r="BC513" s="242"/>
      <c r="BD513" s="242"/>
      <c r="BE513" s="242"/>
      <c r="BF513" s="242"/>
      <c r="BG513" s="242"/>
      <c r="BH513" s="242"/>
      <c r="BI513" s="242"/>
      <c r="BJ513" s="242"/>
      <c r="BK513" s="242"/>
      <c r="BL513" s="242"/>
      <c r="BM513" s="242"/>
      <c r="BN513" s="242"/>
      <c r="BO513" s="242"/>
      <c r="BP513" s="242"/>
    </row>
    <row r="514" spans="1:68" ht="14.25" hidden="1" customHeight="1" outlineLevel="1">
      <c r="A514" s="233"/>
      <c r="B514" s="237"/>
      <c r="C514" s="237"/>
      <c r="D514" s="237"/>
      <c r="E514" s="242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34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1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37"/>
      <c r="BC514" s="242"/>
      <c r="BD514" s="242"/>
      <c r="BE514" s="242"/>
      <c r="BF514" s="242"/>
      <c r="BG514" s="242"/>
      <c r="BH514" s="242"/>
      <c r="BI514" s="242"/>
      <c r="BJ514" s="242"/>
      <c r="BK514" s="242"/>
      <c r="BL514" s="242"/>
      <c r="BM514" s="242"/>
      <c r="BN514" s="242"/>
      <c r="BO514" s="242"/>
      <c r="BP514" s="242"/>
    </row>
    <row r="515" spans="1:68" ht="14.25" hidden="1" customHeight="1" outlineLevel="1">
      <c r="A515" s="233"/>
      <c r="B515" s="237"/>
      <c r="C515" s="237"/>
      <c r="D515" s="237"/>
      <c r="E515" s="242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34"/>
      <c r="T515" s="242"/>
      <c r="U515" s="242"/>
      <c r="V515" s="242"/>
      <c r="W515" s="242"/>
      <c r="X515" s="242"/>
      <c r="Y515" s="242"/>
      <c r="Z515" s="242"/>
      <c r="AA515" s="242"/>
      <c r="AB515" s="242"/>
      <c r="AC515" s="242"/>
      <c r="AD515" s="242"/>
      <c r="AE515" s="242"/>
      <c r="AF515" s="242"/>
      <c r="AG515" s="242"/>
      <c r="AH515" s="242"/>
      <c r="AI515" s="242"/>
      <c r="AJ515" s="242"/>
      <c r="AK515" s="242"/>
      <c r="AL515" s="242"/>
      <c r="AM515" s="242"/>
      <c r="AN515" s="241"/>
      <c r="AO515" s="242"/>
      <c r="AP515" s="242"/>
      <c r="AQ515" s="242"/>
      <c r="AR515" s="242"/>
      <c r="AS515" s="242"/>
      <c r="AT515" s="242"/>
      <c r="AU515" s="242"/>
      <c r="AV515" s="242"/>
      <c r="AW515" s="242"/>
      <c r="AX515" s="242"/>
      <c r="AY515" s="242"/>
      <c r="AZ515" s="242"/>
      <c r="BA515" s="242"/>
      <c r="BB515" s="237"/>
      <c r="BC515" s="242"/>
      <c r="BD515" s="242"/>
      <c r="BE515" s="242"/>
      <c r="BF515" s="242"/>
      <c r="BG515" s="242"/>
      <c r="BH515" s="242"/>
      <c r="BI515" s="242"/>
      <c r="BJ515" s="242"/>
      <c r="BK515" s="242"/>
      <c r="BL515" s="242"/>
      <c r="BM515" s="242"/>
      <c r="BN515" s="242"/>
      <c r="BO515" s="242"/>
      <c r="BP515" s="242"/>
    </row>
    <row r="516" spans="1:68" ht="14.25" hidden="1" customHeight="1" outlineLevel="1">
      <c r="A516" s="233"/>
      <c r="B516" s="237"/>
      <c r="C516" s="237"/>
      <c r="D516" s="237"/>
      <c r="E516" s="242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34"/>
      <c r="T516" s="242"/>
      <c r="U516" s="242"/>
      <c r="V516" s="242"/>
      <c r="W516" s="242"/>
      <c r="X516" s="242"/>
      <c r="Y516" s="242"/>
      <c r="Z516" s="242"/>
      <c r="AA516" s="242"/>
      <c r="AB516" s="242"/>
      <c r="AC516" s="242"/>
      <c r="AD516" s="242"/>
      <c r="AE516" s="242"/>
      <c r="AF516" s="242"/>
      <c r="AG516" s="242"/>
      <c r="AH516" s="242"/>
      <c r="AI516" s="242"/>
      <c r="AJ516" s="242"/>
      <c r="AK516" s="242"/>
      <c r="AL516" s="242"/>
      <c r="AM516" s="242"/>
      <c r="AN516" s="241"/>
      <c r="AO516" s="242"/>
      <c r="AP516" s="242"/>
      <c r="AQ516" s="242"/>
      <c r="AR516" s="242"/>
      <c r="AS516" s="242"/>
      <c r="AT516" s="242"/>
      <c r="AU516" s="242"/>
      <c r="AV516" s="242"/>
      <c r="AW516" s="242"/>
      <c r="AX516" s="242"/>
      <c r="AY516" s="242"/>
      <c r="AZ516" s="242"/>
      <c r="BA516" s="242"/>
      <c r="BB516" s="237"/>
      <c r="BC516" s="242"/>
      <c r="BD516" s="242"/>
      <c r="BE516" s="242"/>
      <c r="BF516" s="242"/>
      <c r="BG516" s="242"/>
      <c r="BH516" s="242"/>
      <c r="BI516" s="242"/>
      <c r="BJ516" s="242"/>
      <c r="BK516" s="242"/>
      <c r="BL516" s="242"/>
      <c r="BM516" s="242"/>
      <c r="BN516" s="242"/>
      <c r="BO516" s="242"/>
      <c r="BP516" s="242"/>
    </row>
    <row r="517" spans="1:68" ht="14.25" hidden="1" customHeight="1" outlineLevel="1">
      <c r="A517" s="233"/>
      <c r="B517" s="237"/>
      <c r="C517" s="237"/>
      <c r="D517" s="237"/>
      <c r="E517" s="242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34"/>
      <c r="T517" s="242"/>
      <c r="U517" s="242"/>
      <c r="V517" s="242"/>
      <c r="W517" s="242"/>
      <c r="X517" s="242"/>
      <c r="Y517" s="242"/>
      <c r="Z517" s="242"/>
      <c r="AA517" s="242"/>
      <c r="AB517" s="242"/>
      <c r="AC517" s="242"/>
      <c r="AD517" s="242"/>
      <c r="AE517" s="242"/>
      <c r="AF517" s="242"/>
      <c r="AG517" s="242"/>
      <c r="AH517" s="242"/>
      <c r="AI517" s="242"/>
      <c r="AJ517" s="242"/>
      <c r="AK517" s="242"/>
      <c r="AL517" s="242"/>
      <c r="AM517" s="242"/>
      <c r="AN517" s="241"/>
      <c r="AO517" s="242"/>
      <c r="AP517" s="242"/>
      <c r="AQ517" s="242"/>
      <c r="AR517" s="242"/>
      <c r="AS517" s="242"/>
      <c r="AT517" s="242"/>
      <c r="AU517" s="242"/>
      <c r="AV517" s="242"/>
      <c r="AW517" s="242"/>
      <c r="AX517" s="242"/>
      <c r="AY517" s="242"/>
      <c r="AZ517" s="242"/>
      <c r="BA517" s="242"/>
      <c r="BB517" s="237"/>
      <c r="BC517" s="242"/>
      <c r="BD517" s="242"/>
      <c r="BE517" s="242"/>
      <c r="BF517" s="242"/>
      <c r="BG517" s="242"/>
      <c r="BH517" s="242"/>
      <c r="BI517" s="242"/>
      <c r="BJ517" s="242"/>
      <c r="BK517" s="242"/>
      <c r="BL517" s="242"/>
      <c r="BM517" s="242"/>
      <c r="BN517" s="242"/>
      <c r="BO517" s="242"/>
      <c r="BP517" s="242"/>
    </row>
    <row r="518" spans="1:68" ht="14.25" hidden="1" customHeight="1" outlineLevel="1">
      <c r="A518" s="233"/>
      <c r="B518" s="237"/>
      <c r="C518" s="237"/>
      <c r="D518" s="237"/>
      <c r="E518" s="242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34"/>
      <c r="T518" s="242"/>
      <c r="U518" s="242"/>
      <c r="V518" s="242"/>
      <c r="W518" s="242"/>
      <c r="X518" s="242"/>
      <c r="Y518" s="242"/>
      <c r="Z518" s="242"/>
      <c r="AA518" s="242"/>
      <c r="AB518" s="242"/>
      <c r="AC518" s="242"/>
      <c r="AD518" s="242"/>
      <c r="AE518" s="242"/>
      <c r="AF518" s="242"/>
      <c r="AG518" s="242"/>
      <c r="AH518" s="242"/>
      <c r="AI518" s="242"/>
      <c r="AJ518" s="242"/>
      <c r="AK518" s="242"/>
      <c r="AL518" s="242"/>
      <c r="AM518" s="242"/>
      <c r="AN518" s="241"/>
      <c r="AO518" s="242"/>
      <c r="AP518" s="242"/>
      <c r="AQ518" s="242"/>
      <c r="AR518" s="242"/>
      <c r="AS518" s="242"/>
      <c r="AT518" s="242"/>
      <c r="AU518" s="242"/>
      <c r="AV518" s="242"/>
      <c r="AW518" s="242"/>
      <c r="AX518" s="242"/>
      <c r="AY518" s="242"/>
      <c r="AZ518" s="242"/>
      <c r="BA518" s="242"/>
      <c r="BB518" s="237"/>
      <c r="BC518" s="242"/>
      <c r="BD518" s="242"/>
      <c r="BE518" s="242"/>
      <c r="BF518" s="242"/>
      <c r="BG518" s="242"/>
      <c r="BH518" s="242"/>
      <c r="BI518" s="242"/>
      <c r="BJ518" s="242"/>
      <c r="BK518" s="242"/>
      <c r="BL518" s="242"/>
      <c r="BM518" s="242"/>
      <c r="BN518" s="242"/>
      <c r="BO518" s="242"/>
      <c r="BP518" s="242"/>
    </row>
    <row r="519" spans="1:68" ht="14.25" hidden="1" customHeight="1" outlineLevel="1">
      <c r="A519" s="233"/>
      <c r="B519" s="237"/>
      <c r="C519" s="237"/>
      <c r="D519" s="237"/>
      <c r="E519" s="242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34"/>
      <c r="T519" s="242"/>
      <c r="U519" s="242"/>
      <c r="V519" s="242"/>
      <c r="W519" s="242"/>
      <c r="X519" s="242"/>
      <c r="Y519" s="242"/>
      <c r="Z519" s="242"/>
      <c r="AA519" s="242"/>
      <c r="AB519" s="242"/>
      <c r="AC519" s="242"/>
      <c r="AD519" s="242"/>
      <c r="AE519" s="242"/>
      <c r="AF519" s="242"/>
      <c r="AG519" s="242"/>
      <c r="AH519" s="242"/>
      <c r="AI519" s="242"/>
      <c r="AJ519" s="242"/>
      <c r="AK519" s="242"/>
      <c r="AL519" s="242"/>
      <c r="AM519" s="242"/>
      <c r="AN519" s="241"/>
      <c r="AO519" s="242"/>
      <c r="AP519" s="242"/>
      <c r="AQ519" s="242"/>
      <c r="AR519" s="242"/>
      <c r="AS519" s="242"/>
      <c r="AT519" s="242"/>
      <c r="AU519" s="242"/>
      <c r="AV519" s="242"/>
      <c r="AW519" s="242"/>
      <c r="AX519" s="242"/>
      <c r="AY519" s="242"/>
      <c r="AZ519" s="242"/>
      <c r="BA519" s="242"/>
      <c r="BB519" s="237"/>
      <c r="BC519" s="242"/>
      <c r="BD519" s="242"/>
      <c r="BE519" s="242"/>
      <c r="BF519" s="242"/>
      <c r="BG519" s="242"/>
      <c r="BH519" s="242"/>
      <c r="BI519" s="242"/>
      <c r="BJ519" s="242"/>
      <c r="BK519" s="242"/>
      <c r="BL519" s="242"/>
      <c r="BM519" s="242"/>
      <c r="BN519" s="242"/>
      <c r="BO519" s="242"/>
      <c r="BP519" s="242"/>
    </row>
    <row r="520" spans="1:68" ht="14.25" hidden="1" customHeight="1" outlineLevel="1">
      <c r="A520" s="233"/>
      <c r="B520" s="237"/>
      <c r="C520" s="237"/>
      <c r="D520" s="237"/>
      <c r="E520" s="242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34"/>
      <c r="T520" s="242"/>
      <c r="U520" s="242"/>
      <c r="V520" s="242"/>
      <c r="W520" s="242"/>
      <c r="X520" s="242"/>
      <c r="Y520" s="242"/>
      <c r="Z520" s="242"/>
      <c r="AA520" s="242"/>
      <c r="AB520" s="242"/>
      <c r="AC520" s="242"/>
      <c r="AD520" s="242"/>
      <c r="AE520" s="242"/>
      <c r="AF520" s="242"/>
      <c r="AG520" s="242"/>
      <c r="AH520" s="242"/>
      <c r="AI520" s="242"/>
      <c r="AJ520" s="242"/>
      <c r="AK520" s="242"/>
      <c r="AL520" s="242"/>
      <c r="AM520" s="242"/>
      <c r="AN520" s="241"/>
      <c r="AO520" s="242"/>
      <c r="AP520" s="242"/>
      <c r="AQ520" s="242"/>
      <c r="AR520" s="242"/>
      <c r="AS520" s="242"/>
      <c r="AT520" s="242"/>
      <c r="AU520" s="242"/>
      <c r="AV520" s="242"/>
      <c r="AW520" s="242"/>
      <c r="AX520" s="242"/>
      <c r="AY520" s="242"/>
      <c r="AZ520" s="242"/>
      <c r="BA520" s="242"/>
      <c r="BB520" s="237"/>
      <c r="BC520" s="242"/>
      <c r="BD520" s="242"/>
      <c r="BE520" s="242"/>
      <c r="BF520" s="242"/>
      <c r="BG520" s="242"/>
      <c r="BH520" s="242"/>
      <c r="BI520" s="242"/>
      <c r="BJ520" s="242"/>
      <c r="BK520" s="242"/>
      <c r="BL520" s="242"/>
      <c r="BM520" s="242"/>
      <c r="BN520" s="242"/>
      <c r="BO520" s="242"/>
      <c r="BP520" s="242"/>
    </row>
    <row r="521" spans="1:68" ht="14.25" hidden="1" customHeight="1" outlineLevel="1">
      <c r="A521" s="233"/>
      <c r="B521" s="237"/>
      <c r="C521" s="237"/>
      <c r="D521" s="237"/>
      <c r="E521" s="242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34"/>
      <c r="T521" s="242"/>
      <c r="U521" s="242"/>
      <c r="V521" s="242"/>
      <c r="W521" s="242"/>
      <c r="X521" s="242"/>
      <c r="Y521" s="242"/>
      <c r="Z521" s="242"/>
      <c r="AA521" s="242"/>
      <c r="AB521" s="242"/>
      <c r="AC521" s="242"/>
      <c r="AD521" s="242"/>
      <c r="AE521" s="242"/>
      <c r="AF521" s="242"/>
      <c r="AG521" s="242"/>
      <c r="AH521" s="242"/>
      <c r="AI521" s="242"/>
      <c r="AJ521" s="242"/>
      <c r="AK521" s="242"/>
      <c r="AL521" s="242"/>
      <c r="AM521" s="242"/>
      <c r="AN521" s="241"/>
      <c r="AO521" s="242"/>
      <c r="AP521" s="242"/>
      <c r="AQ521" s="242"/>
      <c r="AR521" s="242"/>
      <c r="AS521" s="242"/>
      <c r="AT521" s="242"/>
      <c r="AU521" s="242"/>
      <c r="AV521" s="242"/>
      <c r="AW521" s="242"/>
      <c r="AX521" s="242"/>
      <c r="AY521" s="242"/>
      <c r="AZ521" s="242"/>
      <c r="BA521" s="242"/>
      <c r="BB521" s="237"/>
      <c r="BC521" s="242"/>
      <c r="BD521" s="242"/>
      <c r="BE521" s="242"/>
      <c r="BF521" s="242"/>
      <c r="BG521" s="242"/>
      <c r="BH521" s="242"/>
      <c r="BI521" s="242"/>
      <c r="BJ521" s="242"/>
      <c r="BK521" s="242"/>
      <c r="BL521" s="242"/>
      <c r="BM521" s="242"/>
      <c r="BN521" s="242"/>
      <c r="BO521" s="242"/>
      <c r="BP521" s="242"/>
    </row>
    <row r="522" spans="1:68" ht="14.25" hidden="1" customHeight="1" outlineLevel="1">
      <c r="A522" s="233"/>
      <c r="B522" s="237"/>
      <c r="C522" s="237"/>
      <c r="D522" s="237"/>
      <c r="E522" s="242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34"/>
      <c r="T522" s="242"/>
      <c r="U522" s="242"/>
      <c r="V522" s="242"/>
      <c r="W522" s="242"/>
      <c r="X522" s="242"/>
      <c r="Y522" s="242"/>
      <c r="Z522" s="242"/>
      <c r="AA522" s="242"/>
      <c r="AB522" s="242"/>
      <c r="AC522" s="242"/>
      <c r="AD522" s="242"/>
      <c r="AE522" s="242"/>
      <c r="AF522" s="242"/>
      <c r="AG522" s="242"/>
      <c r="AH522" s="242"/>
      <c r="AI522" s="242"/>
      <c r="AJ522" s="242"/>
      <c r="AK522" s="242"/>
      <c r="AL522" s="242"/>
      <c r="AM522" s="242"/>
      <c r="AN522" s="241"/>
      <c r="AO522" s="242"/>
      <c r="AP522" s="242"/>
      <c r="AQ522" s="242"/>
      <c r="AR522" s="242"/>
      <c r="AS522" s="242"/>
      <c r="AT522" s="242"/>
      <c r="AU522" s="242"/>
      <c r="AV522" s="242"/>
      <c r="AW522" s="242"/>
      <c r="AX522" s="242"/>
      <c r="AY522" s="242"/>
      <c r="AZ522" s="242"/>
      <c r="BA522" s="242"/>
      <c r="BB522" s="237"/>
      <c r="BC522" s="242"/>
      <c r="BD522" s="242"/>
      <c r="BE522" s="242"/>
      <c r="BF522" s="242"/>
      <c r="BG522" s="242"/>
      <c r="BH522" s="242"/>
      <c r="BI522" s="242"/>
      <c r="BJ522" s="242"/>
      <c r="BK522" s="242"/>
      <c r="BL522" s="242"/>
      <c r="BM522" s="242"/>
      <c r="BN522" s="242"/>
      <c r="BO522" s="242"/>
      <c r="BP522" s="242"/>
    </row>
    <row r="523" spans="1:68" ht="14.25" hidden="1" customHeight="1" outlineLevel="1">
      <c r="A523" s="233"/>
      <c r="B523" s="237"/>
      <c r="C523" s="237"/>
      <c r="D523" s="237"/>
      <c r="E523" s="242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34"/>
      <c r="T523" s="242"/>
      <c r="U523" s="242"/>
      <c r="V523" s="242"/>
      <c r="W523" s="242"/>
      <c r="X523" s="242"/>
      <c r="Y523" s="242"/>
      <c r="Z523" s="242"/>
      <c r="AA523" s="242"/>
      <c r="AB523" s="242"/>
      <c r="AC523" s="242"/>
      <c r="AD523" s="242"/>
      <c r="AE523" s="242"/>
      <c r="AF523" s="242"/>
      <c r="AG523" s="242"/>
      <c r="AH523" s="242"/>
      <c r="AI523" s="242"/>
      <c r="AJ523" s="242"/>
      <c r="AK523" s="242"/>
      <c r="AL523" s="242"/>
      <c r="AM523" s="242"/>
      <c r="AN523" s="241"/>
      <c r="AO523" s="242"/>
      <c r="AP523" s="242"/>
      <c r="AQ523" s="242"/>
      <c r="AR523" s="242"/>
      <c r="AS523" s="242"/>
      <c r="AT523" s="242"/>
      <c r="AU523" s="242"/>
      <c r="AV523" s="242"/>
      <c r="AW523" s="242"/>
      <c r="AX523" s="242"/>
      <c r="AY523" s="242"/>
      <c r="AZ523" s="242"/>
      <c r="BA523" s="242"/>
      <c r="BB523" s="237"/>
      <c r="BC523" s="242"/>
      <c r="BD523" s="242"/>
      <c r="BE523" s="242"/>
      <c r="BF523" s="242"/>
      <c r="BG523" s="242"/>
      <c r="BH523" s="242"/>
      <c r="BI523" s="242"/>
      <c r="BJ523" s="242"/>
      <c r="BK523" s="242"/>
      <c r="BL523" s="242"/>
      <c r="BM523" s="242"/>
      <c r="BN523" s="242"/>
      <c r="BO523" s="242"/>
      <c r="BP523" s="242"/>
    </row>
    <row r="524" spans="1:68" ht="14.25" hidden="1" customHeight="1" outlineLevel="1">
      <c r="A524" s="233"/>
      <c r="B524" s="237"/>
      <c r="C524" s="237"/>
      <c r="D524" s="237"/>
      <c r="E524" s="242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34"/>
      <c r="T524" s="242"/>
      <c r="U524" s="242"/>
      <c r="V524" s="242"/>
      <c r="W524" s="242"/>
      <c r="X524" s="242"/>
      <c r="Y524" s="242"/>
      <c r="Z524" s="242"/>
      <c r="AA524" s="242"/>
      <c r="AB524" s="242"/>
      <c r="AC524" s="242"/>
      <c r="AD524" s="242"/>
      <c r="AE524" s="242"/>
      <c r="AF524" s="242"/>
      <c r="AG524" s="242"/>
      <c r="AH524" s="242"/>
      <c r="AI524" s="242"/>
      <c r="AJ524" s="242"/>
      <c r="AK524" s="242"/>
      <c r="AL524" s="242"/>
      <c r="AM524" s="242"/>
      <c r="AN524" s="241"/>
      <c r="AO524" s="242"/>
      <c r="AP524" s="242"/>
      <c r="AQ524" s="242"/>
      <c r="AR524" s="242"/>
      <c r="AS524" s="242"/>
      <c r="AT524" s="242"/>
      <c r="AU524" s="242"/>
      <c r="AV524" s="242"/>
      <c r="AW524" s="242"/>
      <c r="AX524" s="242"/>
      <c r="AY524" s="242"/>
      <c r="AZ524" s="242"/>
      <c r="BA524" s="242"/>
      <c r="BB524" s="237"/>
      <c r="BC524" s="242"/>
      <c r="BD524" s="242"/>
      <c r="BE524" s="242"/>
      <c r="BF524" s="242"/>
      <c r="BG524" s="242"/>
      <c r="BH524" s="242"/>
      <c r="BI524" s="242"/>
      <c r="BJ524" s="242"/>
      <c r="BK524" s="242"/>
      <c r="BL524" s="242"/>
      <c r="BM524" s="242"/>
      <c r="BN524" s="242"/>
      <c r="BO524" s="242"/>
      <c r="BP524" s="242"/>
    </row>
    <row r="525" spans="1:68" ht="14.25" hidden="1" customHeight="1" outlineLevel="1">
      <c r="A525" s="233"/>
      <c r="B525" s="237"/>
      <c r="C525" s="237"/>
      <c r="D525" s="237"/>
      <c r="E525" s="242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34"/>
      <c r="T525" s="242"/>
      <c r="U525" s="242"/>
      <c r="V525" s="242"/>
      <c r="W525" s="242"/>
      <c r="X525" s="242"/>
      <c r="Y525" s="242"/>
      <c r="Z525" s="242"/>
      <c r="AA525" s="242"/>
      <c r="AB525" s="242"/>
      <c r="AC525" s="242"/>
      <c r="AD525" s="242"/>
      <c r="AE525" s="242"/>
      <c r="AF525" s="242"/>
      <c r="AG525" s="242"/>
      <c r="AH525" s="242"/>
      <c r="AI525" s="242"/>
      <c r="AJ525" s="242"/>
      <c r="AK525" s="242"/>
      <c r="AL525" s="242"/>
      <c r="AM525" s="242"/>
      <c r="AN525" s="241"/>
      <c r="AO525" s="242"/>
      <c r="AP525" s="242"/>
      <c r="AQ525" s="242"/>
      <c r="AR525" s="242"/>
      <c r="AS525" s="242"/>
      <c r="AT525" s="242"/>
      <c r="AU525" s="242"/>
      <c r="AV525" s="242"/>
      <c r="AW525" s="242"/>
      <c r="AX525" s="242"/>
      <c r="AY525" s="242"/>
      <c r="AZ525" s="242"/>
      <c r="BA525" s="242"/>
      <c r="BB525" s="237"/>
      <c r="BC525" s="242"/>
      <c r="BD525" s="242"/>
      <c r="BE525" s="242"/>
      <c r="BF525" s="242"/>
      <c r="BG525" s="242"/>
      <c r="BH525" s="242"/>
      <c r="BI525" s="242"/>
      <c r="BJ525" s="242"/>
      <c r="BK525" s="242"/>
      <c r="BL525" s="242"/>
      <c r="BM525" s="242"/>
      <c r="BN525" s="242"/>
      <c r="BO525" s="242"/>
      <c r="BP525" s="242"/>
    </row>
    <row r="526" spans="1:68" ht="14.25" hidden="1" customHeight="1" outlineLevel="1">
      <c r="A526" s="233"/>
      <c r="B526" s="237"/>
      <c r="C526" s="237"/>
      <c r="D526" s="237"/>
      <c r="E526" s="242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34"/>
      <c r="T526" s="242"/>
      <c r="U526" s="242"/>
      <c r="V526" s="242"/>
      <c r="W526" s="242"/>
      <c r="X526" s="242"/>
      <c r="Y526" s="242"/>
      <c r="Z526" s="242"/>
      <c r="AA526" s="242"/>
      <c r="AB526" s="242"/>
      <c r="AC526" s="242"/>
      <c r="AD526" s="242"/>
      <c r="AE526" s="242"/>
      <c r="AF526" s="242"/>
      <c r="AG526" s="242"/>
      <c r="AH526" s="242"/>
      <c r="AI526" s="242"/>
      <c r="AJ526" s="242"/>
      <c r="AK526" s="242"/>
      <c r="AL526" s="242"/>
      <c r="AM526" s="242"/>
      <c r="AN526" s="241"/>
      <c r="AO526" s="242"/>
      <c r="AP526" s="242"/>
      <c r="AQ526" s="242"/>
      <c r="AR526" s="242"/>
      <c r="AS526" s="242"/>
      <c r="AT526" s="242"/>
      <c r="AU526" s="242"/>
      <c r="AV526" s="242"/>
      <c r="AW526" s="242"/>
      <c r="AX526" s="242"/>
      <c r="AY526" s="242"/>
      <c r="AZ526" s="242"/>
      <c r="BA526" s="242"/>
      <c r="BB526" s="237"/>
      <c r="BC526" s="242"/>
      <c r="BD526" s="242"/>
      <c r="BE526" s="242"/>
      <c r="BF526" s="242"/>
      <c r="BG526" s="242"/>
      <c r="BH526" s="242"/>
      <c r="BI526" s="242"/>
      <c r="BJ526" s="242"/>
      <c r="BK526" s="242"/>
      <c r="BL526" s="242"/>
      <c r="BM526" s="242"/>
      <c r="BN526" s="242"/>
      <c r="BO526" s="242"/>
      <c r="BP526" s="242"/>
    </row>
    <row r="527" spans="1:68" ht="14.25" hidden="1" customHeight="1" outlineLevel="1">
      <c r="A527" s="233"/>
      <c r="B527" s="237"/>
      <c r="C527" s="237"/>
      <c r="D527" s="237"/>
      <c r="E527" s="242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34"/>
      <c r="T527" s="242"/>
      <c r="U527" s="242"/>
      <c r="V527" s="242"/>
      <c r="W527" s="242"/>
      <c r="X527" s="242"/>
      <c r="Y527" s="242"/>
      <c r="Z527" s="242"/>
      <c r="AA527" s="242"/>
      <c r="AB527" s="242"/>
      <c r="AC527" s="242"/>
      <c r="AD527" s="242"/>
      <c r="AE527" s="242"/>
      <c r="AF527" s="242"/>
      <c r="AG527" s="242"/>
      <c r="AH527" s="242"/>
      <c r="AI527" s="242"/>
      <c r="AJ527" s="242"/>
      <c r="AK527" s="242"/>
      <c r="AL527" s="242"/>
      <c r="AM527" s="242"/>
      <c r="AN527" s="241"/>
      <c r="AO527" s="242"/>
      <c r="AP527" s="242"/>
      <c r="AQ527" s="242"/>
      <c r="AR527" s="242"/>
      <c r="AS527" s="242"/>
      <c r="AT527" s="242"/>
      <c r="AU527" s="242"/>
      <c r="AV527" s="242"/>
      <c r="AW527" s="242"/>
      <c r="AX527" s="242"/>
      <c r="AY527" s="242"/>
      <c r="AZ527" s="242"/>
      <c r="BA527" s="242"/>
      <c r="BB527" s="237"/>
      <c r="BC527" s="242"/>
      <c r="BD527" s="242"/>
      <c r="BE527" s="242"/>
      <c r="BF527" s="242"/>
      <c r="BG527" s="242"/>
      <c r="BH527" s="242"/>
      <c r="BI527" s="242"/>
      <c r="BJ527" s="242"/>
      <c r="BK527" s="242"/>
      <c r="BL527" s="242"/>
      <c r="BM527" s="242"/>
      <c r="BN527" s="242"/>
      <c r="BO527" s="242"/>
      <c r="BP527" s="242"/>
    </row>
    <row r="528" spans="1:68" ht="14.25" hidden="1" customHeight="1" outlineLevel="1">
      <c r="A528" s="233"/>
      <c r="B528" s="237"/>
      <c r="C528" s="237"/>
      <c r="D528" s="237"/>
      <c r="E528" s="242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34"/>
      <c r="T528" s="242"/>
      <c r="U528" s="242"/>
      <c r="V528" s="242"/>
      <c r="W528" s="242"/>
      <c r="X528" s="242"/>
      <c r="Y528" s="242"/>
      <c r="Z528" s="242"/>
      <c r="AA528" s="242"/>
      <c r="AB528" s="242"/>
      <c r="AC528" s="242"/>
      <c r="AD528" s="242"/>
      <c r="AE528" s="242"/>
      <c r="AF528" s="242"/>
      <c r="AG528" s="242"/>
      <c r="AH528" s="242"/>
      <c r="AI528" s="242"/>
      <c r="AJ528" s="242"/>
      <c r="AK528" s="242"/>
      <c r="AL528" s="242"/>
      <c r="AM528" s="242"/>
      <c r="AN528" s="241"/>
      <c r="AO528" s="242"/>
      <c r="AP528" s="242"/>
      <c r="AQ528" s="242"/>
      <c r="AR528" s="242"/>
      <c r="AS528" s="242"/>
      <c r="AT528" s="242"/>
      <c r="AU528" s="242"/>
      <c r="AV528" s="242"/>
      <c r="AW528" s="242"/>
      <c r="AX528" s="242"/>
      <c r="AY528" s="242"/>
      <c r="AZ528" s="242"/>
      <c r="BA528" s="242"/>
      <c r="BB528" s="237"/>
      <c r="BC528" s="242"/>
      <c r="BD528" s="242"/>
      <c r="BE528" s="242"/>
      <c r="BF528" s="242"/>
      <c r="BG528" s="242"/>
      <c r="BH528" s="242"/>
      <c r="BI528" s="242"/>
      <c r="BJ528" s="242"/>
      <c r="BK528" s="242"/>
      <c r="BL528" s="242"/>
      <c r="BM528" s="242"/>
      <c r="BN528" s="242"/>
      <c r="BO528" s="242"/>
      <c r="BP528" s="242"/>
    </row>
    <row r="529" spans="1:68" ht="14.25" hidden="1" customHeight="1" outlineLevel="1">
      <c r="A529" s="233"/>
      <c r="B529" s="237"/>
      <c r="C529" s="237"/>
      <c r="D529" s="237"/>
      <c r="E529" s="242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34"/>
      <c r="T529" s="242"/>
      <c r="U529" s="242"/>
      <c r="V529" s="242"/>
      <c r="W529" s="242"/>
      <c r="X529" s="242"/>
      <c r="Y529" s="242"/>
      <c r="Z529" s="242"/>
      <c r="AA529" s="242"/>
      <c r="AB529" s="242"/>
      <c r="AC529" s="242"/>
      <c r="AD529" s="242"/>
      <c r="AE529" s="242"/>
      <c r="AF529" s="242"/>
      <c r="AG529" s="242"/>
      <c r="AH529" s="242"/>
      <c r="AI529" s="242"/>
      <c r="AJ529" s="242"/>
      <c r="AK529" s="242"/>
      <c r="AL529" s="242"/>
      <c r="AM529" s="242"/>
      <c r="AN529" s="241"/>
      <c r="AO529" s="242"/>
      <c r="AP529" s="242"/>
      <c r="AQ529" s="242"/>
      <c r="AR529" s="242"/>
      <c r="AS529" s="242"/>
      <c r="AT529" s="242"/>
      <c r="AU529" s="242"/>
      <c r="AV529" s="242"/>
      <c r="AW529" s="242"/>
      <c r="AX529" s="242"/>
      <c r="AY529" s="242"/>
      <c r="AZ529" s="242"/>
      <c r="BA529" s="242"/>
      <c r="BB529" s="237"/>
      <c r="BC529" s="242"/>
      <c r="BD529" s="242"/>
      <c r="BE529" s="242"/>
      <c r="BF529" s="242"/>
      <c r="BG529" s="242"/>
      <c r="BH529" s="242"/>
      <c r="BI529" s="242"/>
      <c r="BJ529" s="242"/>
      <c r="BK529" s="242"/>
      <c r="BL529" s="242"/>
      <c r="BM529" s="242"/>
      <c r="BN529" s="242"/>
      <c r="BO529" s="242"/>
      <c r="BP529" s="242"/>
    </row>
    <row r="530" spans="1:68" ht="14.25" hidden="1" customHeight="1" outlineLevel="1">
      <c r="A530" s="233"/>
      <c r="B530" s="237"/>
      <c r="C530" s="237"/>
      <c r="D530" s="237"/>
      <c r="E530" s="242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34"/>
      <c r="T530" s="242"/>
      <c r="U530" s="242"/>
      <c r="V530" s="242"/>
      <c r="W530" s="242"/>
      <c r="X530" s="242"/>
      <c r="Y530" s="242"/>
      <c r="Z530" s="242"/>
      <c r="AA530" s="242"/>
      <c r="AB530" s="242"/>
      <c r="AC530" s="242"/>
      <c r="AD530" s="242"/>
      <c r="AE530" s="242"/>
      <c r="AF530" s="242"/>
      <c r="AG530" s="242"/>
      <c r="AH530" s="242"/>
      <c r="AI530" s="242"/>
      <c r="AJ530" s="242"/>
      <c r="AK530" s="242"/>
      <c r="AL530" s="242"/>
      <c r="AM530" s="242"/>
      <c r="AN530" s="241"/>
      <c r="AO530" s="242"/>
      <c r="AP530" s="242"/>
      <c r="AQ530" s="242"/>
      <c r="AR530" s="242"/>
      <c r="AS530" s="242"/>
      <c r="AT530" s="242"/>
      <c r="AU530" s="242"/>
      <c r="AV530" s="242"/>
      <c r="AW530" s="242"/>
      <c r="AX530" s="242"/>
      <c r="AY530" s="242"/>
      <c r="AZ530" s="242"/>
      <c r="BA530" s="242"/>
      <c r="BB530" s="237"/>
      <c r="BC530" s="242"/>
      <c r="BD530" s="242"/>
      <c r="BE530" s="242"/>
      <c r="BF530" s="242"/>
      <c r="BG530" s="242"/>
      <c r="BH530" s="242"/>
      <c r="BI530" s="242"/>
      <c r="BJ530" s="242"/>
      <c r="BK530" s="242"/>
      <c r="BL530" s="242"/>
      <c r="BM530" s="242"/>
      <c r="BN530" s="242"/>
      <c r="BO530" s="242"/>
      <c r="BP530" s="242"/>
    </row>
    <row r="531" spans="1:68" ht="14.25" hidden="1" customHeight="1" outlineLevel="1">
      <c r="A531" s="233"/>
      <c r="B531" s="237"/>
      <c r="C531" s="237"/>
      <c r="D531" s="237"/>
      <c r="E531" s="242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34"/>
      <c r="T531" s="242"/>
      <c r="U531" s="242"/>
      <c r="V531" s="242"/>
      <c r="W531" s="242"/>
      <c r="X531" s="242"/>
      <c r="Y531" s="242"/>
      <c r="Z531" s="242"/>
      <c r="AA531" s="242"/>
      <c r="AB531" s="242"/>
      <c r="AC531" s="242"/>
      <c r="AD531" s="242"/>
      <c r="AE531" s="242"/>
      <c r="AF531" s="242"/>
      <c r="AG531" s="242"/>
      <c r="AH531" s="242"/>
      <c r="AI531" s="242"/>
      <c r="AJ531" s="242"/>
      <c r="AK531" s="242"/>
      <c r="AL531" s="242"/>
      <c r="AM531" s="242"/>
      <c r="AN531" s="241"/>
      <c r="AO531" s="242"/>
      <c r="AP531" s="242"/>
      <c r="AQ531" s="242"/>
      <c r="AR531" s="242"/>
      <c r="AS531" s="242"/>
      <c r="AT531" s="242"/>
      <c r="AU531" s="242"/>
      <c r="AV531" s="242"/>
      <c r="AW531" s="242"/>
      <c r="AX531" s="242"/>
      <c r="AY531" s="242"/>
      <c r="AZ531" s="242"/>
      <c r="BA531" s="242"/>
      <c r="BB531" s="237"/>
      <c r="BC531" s="242"/>
      <c r="BD531" s="242"/>
      <c r="BE531" s="242"/>
      <c r="BF531" s="242"/>
      <c r="BG531" s="242"/>
      <c r="BH531" s="242"/>
      <c r="BI531" s="242"/>
      <c r="BJ531" s="242"/>
      <c r="BK531" s="242"/>
      <c r="BL531" s="242"/>
      <c r="BM531" s="242"/>
      <c r="BN531" s="242"/>
      <c r="BO531" s="242"/>
      <c r="BP531" s="242"/>
    </row>
    <row r="532" spans="1:68" ht="14.25" hidden="1" customHeight="1" outlineLevel="1">
      <c r="A532" s="233"/>
      <c r="B532" s="237"/>
      <c r="C532" s="237"/>
      <c r="D532" s="237"/>
      <c r="E532" s="242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34"/>
      <c r="T532" s="242"/>
      <c r="U532" s="242"/>
      <c r="V532" s="242"/>
      <c r="W532" s="242"/>
      <c r="X532" s="242"/>
      <c r="Y532" s="242"/>
      <c r="Z532" s="242"/>
      <c r="AA532" s="242"/>
      <c r="AB532" s="242"/>
      <c r="AC532" s="242"/>
      <c r="AD532" s="242"/>
      <c r="AE532" s="242"/>
      <c r="AF532" s="242"/>
      <c r="AG532" s="242"/>
      <c r="AH532" s="242"/>
      <c r="AI532" s="242"/>
      <c r="AJ532" s="242"/>
      <c r="AK532" s="242"/>
      <c r="AL532" s="242"/>
      <c r="AM532" s="242"/>
      <c r="AN532" s="241"/>
      <c r="AO532" s="242"/>
      <c r="AP532" s="242"/>
      <c r="AQ532" s="242"/>
      <c r="AR532" s="242"/>
      <c r="AS532" s="242"/>
      <c r="AT532" s="242"/>
      <c r="AU532" s="242"/>
      <c r="AV532" s="242"/>
      <c r="AW532" s="242"/>
      <c r="AX532" s="242"/>
      <c r="AY532" s="242"/>
      <c r="AZ532" s="242"/>
      <c r="BA532" s="242"/>
      <c r="BB532" s="237"/>
      <c r="BC532" s="242"/>
      <c r="BD532" s="242"/>
      <c r="BE532" s="242"/>
      <c r="BF532" s="242"/>
      <c r="BG532" s="242"/>
      <c r="BH532" s="242"/>
      <c r="BI532" s="242"/>
      <c r="BJ532" s="242"/>
      <c r="BK532" s="242"/>
      <c r="BL532" s="242"/>
      <c r="BM532" s="242"/>
      <c r="BN532" s="242"/>
      <c r="BO532" s="242"/>
      <c r="BP532" s="242"/>
    </row>
    <row r="533" spans="1:68" ht="14.25" hidden="1" customHeight="1" outlineLevel="1">
      <c r="A533" s="233"/>
      <c r="B533" s="237"/>
      <c r="C533" s="237"/>
      <c r="D533" s="237"/>
      <c r="E533" s="242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34"/>
      <c r="T533" s="242"/>
      <c r="U533" s="242"/>
      <c r="V533" s="242"/>
      <c r="W533" s="242"/>
      <c r="X533" s="242"/>
      <c r="Y533" s="242"/>
      <c r="Z533" s="242"/>
      <c r="AA533" s="242"/>
      <c r="AB533" s="242"/>
      <c r="AC533" s="242"/>
      <c r="AD533" s="242"/>
      <c r="AE533" s="242"/>
      <c r="AF533" s="242"/>
      <c r="AG533" s="242"/>
      <c r="AH533" s="242"/>
      <c r="AI533" s="242"/>
      <c r="AJ533" s="242"/>
      <c r="AK533" s="242"/>
      <c r="AL533" s="242"/>
      <c r="AM533" s="242"/>
      <c r="AN533" s="241"/>
      <c r="AO533" s="242"/>
      <c r="AP533" s="242"/>
      <c r="AQ533" s="242"/>
      <c r="AR533" s="242"/>
      <c r="AS533" s="242"/>
      <c r="AT533" s="242"/>
      <c r="AU533" s="242"/>
      <c r="AV533" s="242"/>
      <c r="AW533" s="242"/>
      <c r="AX533" s="242"/>
      <c r="AY533" s="242"/>
      <c r="AZ533" s="242"/>
      <c r="BA533" s="242"/>
      <c r="BB533" s="237"/>
      <c r="BC533" s="242"/>
      <c r="BD533" s="242"/>
      <c r="BE533" s="242"/>
      <c r="BF533" s="242"/>
      <c r="BG533" s="242"/>
      <c r="BH533" s="242"/>
      <c r="BI533" s="242"/>
      <c r="BJ533" s="242"/>
      <c r="BK533" s="242"/>
      <c r="BL533" s="242"/>
      <c r="BM533" s="242"/>
      <c r="BN533" s="242"/>
      <c r="BO533" s="242"/>
      <c r="BP533" s="242"/>
    </row>
    <row r="534" spans="1:68" ht="14.25" hidden="1" customHeight="1" outlineLevel="1">
      <c r="A534" s="233"/>
      <c r="B534" s="237"/>
      <c r="C534" s="237"/>
      <c r="D534" s="237"/>
      <c r="E534" s="242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34"/>
      <c r="T534" s="242"/>
      <c r="U534" s="242"/>
      <c r="V534" s="242"/>
      <c r="W534" s="242"/>
      <c r="X534" s="242"/>
      <c r="Y534" s="242"/>
      <c r="Z534" s="242"/>
      <c r="AA534" s="242"/>
      <c r="AB534" s="242"/>
      <c r="AC534" s="242"/>
      <c r="AD534" s="242"/>
      <c r="AE534" s="242"/>
      <c r="AF534" s="242"/>
      <c r="AG534" s="242"/>
      <c r="AH534" s="242"/>
      <c r="AI534" s="242"/>
      <c r="AJ534" s="242"/>
      <c r="AK534" s="242"/>
      <c r="AL534" s="242"/>
      <c r="AM534" s="242"/>
      <c r="AN534" s="241"/>
      <c r="AO534" s="242"/>
      <c r="AP534" s="242"/>
      <c r="AQ534" s="242"/>
      <c r="AR534" s="242"/>
      <c r="AS534" s="242"/>
      <c r="AT534" s="242"/>
      <c r="AU534" s="242"/>
      <c r="AV534" s="242"/>
      <c r="AW534" s="242"/>
      <c r="AX534" s="242"/>
      <c r="AY534" s="242"/>
      <c r="AZ534" s="242"/>
      <c r="BA534" s="242"/>
      <c r="BB534" s="237"/>
      <c r="BC534" s="242"/>
      <c r="BD534" s="242"/>
      <c r="BE534" s="242"/>
      <c r="BF534" s="242"/>
      <c r="BG534" s="242"/>
      <c r="BH534" s="242"/>
      <c r="BI534" s="242"/>
      <c r="BJ534" s="242"/>
      <c r="BK534" s="242"/>
      <c r="BL534" s="242"/>
      <c r="BM534" s="242"/>
      <c r="BN534" s="242"/>
      <c r="BO534" s="242"/>
      <c r="BP534" s="242"/>
    </row>
    <row r="535" spans="1:68" ht="14.25" hidden="1" customHeight="1" outlineLevel="1">
      <c r="A535" s="233"/>
      <c r="B535" s="237"/>
      <c r="C535" s="237"/>
      <c r="D535" s="237"/>
      <c r="E535" s="242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34"/>
      <c r="T535" s="242"/>
      <c r="U535" s="242"/>
      <c r="V535" s="242"/>
      <c r="W535" s="242"/>
      <c r="X535" s="242"/>
      <c r="Y535" s="242"/>
      <c r="Z535" s="242"/>
      <c r="AA535" s="242"/>
      <c r="AB535" s="242"/>
      <c r="AC535" s="242"/>
      <c r="AD535" s="242"/>
      <c r="AE535" s="242"/>
      <c r="AF535" s="242"/>
      <c r="AG535" s="242"/>
      <c r="AH535" s="242"/>
      <c r="AI535" s="242"/>
      <c r="AJ535" s="242"/>
      <c r="AK535" s="242"/>
      <c r="AL535" s="242"/>
      <c r="AM535" s="242"/>
      <c r="AN535" s="241"/>
      <c r="AO535" s="242"/>
      <c r="AP535" s="242"/>
      <c r="AQ535" s="242"/>
      <c r="AR535" s="242"/>
      <c r="AS535" s="242"/>
      <c r="AT535" s="242"/>
      <c r="AU535" s="242"/>
      <c r="AV535" s="242"/>
      <c r="AW535" s="242"/>
      <c r="AX535" s="242"/>
      <c r="AY535" s="242"/>
      <c r="AZ535" s="242"/>
      <c r="BA535" s="242"/>
      <c r="BB535" s="237"/>
      <c r="BC535" s="242"/>
      <c r="BD535" s="242"/>
      <c r="BE535" s="242"/>
      <c r="BF535" s="242"/>
      <c r="BG535" s="242"/>
      <c r="BH535" s="242"/>
      <c r="BI535" s="242"/>
      <c r="BJ535" s="242"/>
      <c r="BK535" s="242"/>
      <c r="BL535" s="242"/>
      <c r="BM535" s="242"/>
      <c r="BN535" s="242"/>
      <c r="BO535" s="242"/>
      <c r="BP535" s="242"/>
    </row>
    <row r="536" spans="1:68" ht="14.25" hidden="1" customHeight="1" outlineLevel="1">
      <c r="A536" s="233"/>
      <c r="B536" s="237"/>
      <c r="C536" s="237"/>
      <c r="D536" s="237"/>
      <c r="E536" s="242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34"/>
      <c r="T536" s="242"/>
      <c r="U536" s="242"/>
      <c r="V536" s="242"/>
      <c r="W536" s="242"/>
      <c r="X536" s="242"/>
      <c r="Y536" s="242"/>
      <c r="Z536" s="242"/>
      <c r="AA536" s="242"/>
      <c r="AB536" s="242"/>
      <c r="AC536" s="242"/>
      <c r="AD536" s="242"/>
      <c r="AE536" s="242"/>
      <c r="AF536" s="242"/>
      <c r="AG536" s="242"/>
      <c r="AH536" s="242"/>
      <c r="AI536" s="242"/>
      <c r="AJ536" s="242"/>
      <c r="AK536" s="242"/>
      <c r="AL536" s="242"/>
      <c r="AM536" s="242"/>
      <c r="AN536" s="241"/>
      <c r="AO536" s="242"/>
      <c r="AP536" s="242"/>
      <c r="AQ536" s="242"/>
      <c r="AR536" s="242"/>
      <c r="AS536" s="242"/>
      <c r="AT536" s="242"/>
      <c r="AU536" s="242"/>
      <c r="AV536" s="242"/>
      <c r="AW536" s="242"/>
      <c r="AX536" s="242"/>
      <c r="AY536" s="242"/>
      <c r="AZ536" s="242"/>
      <c r="BA536" s="242"/>
      <c r="BB536" s="237"/>
      <c r="BC536" s="242"/>
      <c r="BD536" s="242"/>
      <c r="BE536" s="242"/>
      <c r="BF536" s="242"/>
      <c r="BG536" s="242"/>
      <c r="BH536" s="242"/>
      <c r="BI536" s="242"/>
      <c r="BJ536" s="242"/>
      <c r="BK536" s="242"/>
      <c r="BL536" s="242"/>
      <c r="BM536" s="242"/>
      <c r="BN536" s="242"/>
      <c r="BO536" s="242"/>
      <c r="BP536" s="242"/>
    </row>
    <row r="537" spans="1:68" ht="14.25" hidden="1" customHeight="1" outlineLevel="1">
      <c r="A537" s="233"/>
      <c r="B537" s="237"/>
      <c r="C537" s="237"/>
      <c r="D537" s="237"/>
      <c r="E537" s="242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34"/>
      <c r="T537" s="242"/>
      <c r="U537" s="242"/>
      <c r="V537" s="242"/>
      <c r="W537" s="242"/>
      <c r="X537" s="242"/>
      <c r="Y537" s="242"/>
      <c r="Z537" s="242"/>
      <c r="AA537" s="242"/>
      <c r="AB537" s="242"/>
      <c r="AC537" s="242"/>
      <c r="AD537" s="242"/>
      <c r="AE537" s="242"/>
      <c r="AF537" s="242"/>
      <c r="AG537" s="242"/>
      <c r="AH537" s="242"/>
      <c r="AI537" s="242"/>
      <c r="AJ537" s="242"/>
      <c r="AK537" s="242"/>
      <c r="AL537" s="242"/>
      <c r="AM537" s="242"/>
      <c r="AN537" s="241"/>
      <c r="AO537" s="242"/>
      <c r="AP537" s="242"/>
      <c r="AQ537" s="242"/>
      <c r="AR537" s="242"/>
      <c r="AS537" s="242"/>
      <c r="AT537" s="242"/>
      <c r="AU537" s="242"/>
      <c r="AV537" s="242"/>
      <c r="AW537" s="242"/>
      <c r="AX537" s="242"/>
      <c r="AY537" s="242"/>
      <c r="AZ537" s="242"/>
      <c r="BA537" s="242"/>
      <c r="BB537" s="237"/>
      <c r="BC537" s="242"/>
      <c r="BD537" s="242"/>
      <c r="BE537" s="242"/>
      <c r="BF537" s="242"/>
      <c r="BG537" s="242"/>
      <c r="BH537" s="242"/>
      <c r="BI537" s="242"/>
      <c r="BJ537" s="242"/>
      <c r="BK537" s="242"/>
      <c r="BL537" s="242"/>
      <c r="BM537" s="242"/>
      <c r="BN537" s="242"/>
      <c r="BO537" s="242"/>
      <c r="BP537" s="242"/>
    </row>
    <row r="538" spans="1:68" ht="14.25" hidden="1" customHeight="1" outlineLevel="1">
      <c r="A538" s="233"/>
      <c r="B538" s="237"/>
      <c r="C538" s="237"/>
      <c r="D538" s="237"/>
      <c r="E538" s="242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34"/>
      <c r="T538" s="242"/>
      <c r="U538" s="242"/>
      <c r="V538" s="242"/>
      <c r="W538" s="242"/>
      <c r="X538" s="242"/>
      <c r="Y538" s="242"/>
      <c r="Z538" s="242"/>
      <c r="AA538" s="242"/>
      <c r="AB538" s="242"/>
      <c r="AC538" s="242"/>
      <c r="AD538" s="242"/>
      <c r="AE538" s="242"/>
      <c r="AF538" s="242"/>
      <c r="AG538" s="242"/>
      <c r="AH538" s="242"/>
      <c r="AI538" s="242"/>
      <c r="AJ538" s="242"/>
      <c r="AK538" s="242"/>
      <c r="AL538" s="242"/>
      <c r="AM538" s="242"/>
      <c r="AN538" s="241"/>
      <c r="AO538" s="242"/>
      <c r="AP538" s="242"/>
      <c r="AQ538" s="242"/>
      <c r="AR538" s="242"/>
      <c r="AS538" s="242"/>
      <c r="AT538" s="242"/>
      <c r="AU538" s="242"/>
      <c r="AV538" s="242"/>
      <c r="AW538" s="242"/>
      <c r="AX538" s="242"/>
      <c r="AY538" s="242"/>
      <c r="AZ538" s="242"/>
      <c r="BA538" s="242"/>
      <c r="BB538" s="237"/>
      <c r="BC538" s="242"/>
      <c r="BD538" s="242"/>
      <c r="BE538" s="242"/>
      <c r="BF538" s="242"/>
      <c r="BG538" s="242"/>
      <c r="BH538" s="242"/>
      <c r="BI538" s="242"/>
      <c r="BJ538" s="242"/>
      <c r="BK538" s="242"/>
      <c r="BL538" s="242"/>
      <c r="BM538" s="242"/>
      <c r="BN538" s="242"/>
      <c r="BO538" s="242"/>
      <c r="BP538" s="242"/>
    </row>
    <row r="539" spans="1:68" ht="14.25" hidden="1" customHeight="1" outlineLevel="1">
      <c r="A539" s="233"/>
      <c r="B539" s="237"/>
      <c r="C539" s="237"/>
      <c r="D539" s="237"/>
      <c r="E539" s="242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34"/>
      <c r="T539" s="242"/>
      <c r="U539" s="242"/>
      <c r="V539" s="242"/>
      <c r="W539" s="242"/>
      <c r="X539" s="242"/>
      <c r="Y539" s="242"/>
      <c r="Z539" s="242"/>
      <c r="AA539" s="242"/>
      <c r="AB539" s="242"/>
      <c r="AC539" s="242"/>
      <c r="AD539" s="242"/>
      <c r="AE539" s="242"/>
      <c r="AF539" s="242"/>
      <c r="AG539" s="242"/>
      <c r="AH539" s="242"/>
      <c r="AI539" s="242"/>
      <c r="AJ539" s="242"/>
      <c r="AK539" s="242"/>
      <c r="AL539" s="242"/>
      <c r="AM539" s="242"/>
      <c r="AN539" s="241"/>
      <c r="AO539" s="242"/>
      <c r="AP539" s="242"/>
      <c r="AQ539" s="242"/>
      <c r="AR539" s="242"/>
      <c r="AS539" s="242"/>
      <c r="AT539" s="242"/>
      <c r="AU539" s="242"/>
      <c r="AV539" s="242"/>
      <c r="AW539" s="242"/>
      <c r="AX539" s="242"/>
      <c r="AY539" s="242"/>
      <c r="AZ539" s="242"/>
      <c r="BA539" s="242"/>
      <c r="BB539" s="237"/>
      <c r="BC539" s="242"/>
      <c r="BD539" s="242"/>
      <c r="BE539" s="242"/>
      <c r="BF539" s="242"/>
      <c r="BG539" s="242"/>
      <c r="BH539" s="242"/>
      <c r="BI539" s="242"/>
      <c r="BJ539" s="242"/>
      <c r="BK539" s="242"/>
      <c r="BL539" s="242"/>
      <c r="BM539" s="242"/>
      <c r="BN539" s="242"/>
      <c r="BO539" s="242"/>
      <c r="BP539" s="242"/>
    </row>
    <row r="540" spans="1:68" ht="14.25" hidden="1" customHeight="1" outlineLevel="1">
      <c r="A540" s="233"/>
      <c r="B540" s="237"/>
      <c r="C540" s="237"/>
      <c r="D540" s="237"/>
      <c r="E540" s="242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34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1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37"/>
      <c r="BC540" s="242"/>
      <c r="BD540" s="242"/>
      <c r="BE540" s="242"/>
      <c r="BF540" s="242"/>
      <c r="BG540" s="242"/>
      <c r="BH540" s="242"/>
      <c r="BI540" s="242"/>
      <c r="BJ540" s="242"/>
      <c r="BK540" s="242"/>
      <c r="BL540" s="242"/>
      <c r="BM540" s="242"/>
      <c r="BN540" s="242"/>
      <c r="BO540" s="242"/>
      <c r="BP540" s="242"/>
    </row>
    <row r="541" spans="1:68" ht="14.25" hidden="1" customHeight="1" outlineLevel="1">
      <c r="A541" s="233"/>
      <c r="B541" s="237"/>
      <c r="C541" s="237"/>
      <c r="D541" s="237"/>
      <c r="E541" s="242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34"/>
      <c r="T541" s="242"/>
      <c r="U541" s="242"/>
      <c r="V541" s="242"/>
      <c r="W541" s="242"/>
      <c r="X541" s="242"/>
      <c r="Y541" s="242"/>
      <c r="Z541" s="242"/>
      <c r="AA541" s="242"/>
      <c r="AB541" s="242"/>
      <c r="AC541" s="242"/>
      <c r="AD541" s="242"/>
      <c r="AE541" s="242"/>
      <c r="AF541" s="242"/>
      <c r="AG541" s="242"/>
      <c r="AH541" s="242"/>
      <c r="AI541" s="242"/>
      <c r="AJ541" s="242"/>
      <c r="AK541" s="242"/>
      <c r="AL541" s="242"/>
      <c r="AM541" s="242"/>
      <c r="AN541" s="241"/>
      <c r="AO541" s="242"/>
      <c r="AP541" s="242"/>
      <c r="AQ541" s="242"/>
      <c r="AR541" s="242"/>
      <c r="AS541" s="242"/>
      <c r="AT541" s="242"/>
      <c r="AU541" s="242"/>
      <c r="AV541" s="242"/>
      <c r="AW541" s="242"/>
      <c r="AX541" s="242"/>
      <c r="AY541" s="242"/>
      <c r="AZ541" s="242"/>
      <c r="BA541" s="242"/>
      <c r="BB541" s="237"/>
      <c r="BC541" s="242"/>
      <c r="BD541" s="242"/>
      <c r="BE541" s="242"/>
      <c r="BF541" s="242"/>
      <c r="BG541" s="242"/>
      <c r="BH541" s="242"/>
      <c r="BI541" s="242"/>
      <c r="BJ541" s="242"/>
      <c r="BK541" s="242"/>
      <c r="BL541" s="242"/>
      <c r="BM541" s="242"/>
      <c r="BN541" s="242"/>
      <c r="BO541" s="242"/>
      <c r="BP541" s="242"/>
    </row>
    <row r="542" spans="1:68" ht="14.25" hidden="1" customHeight="1" outlineLevel="1">
      <c r="A542" s="233"/>
      <c r="B542" s="237"/>
      <c r="C542" s="237"/>
      <c r="D542" s="237"/>
      <c r="E542" s="242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34"/>
      <c r="T542" s="242"/>
      <c r="U542" s="242"/>
      <c r="V542" s="242"/>
      <c r="W542" s="242"/>
      <c r="X542" s="242"/>
      <c r="Y542" s="242"/>
      <c r="Z542" s="242"/>
      <c r="AA542" s="242"/>
      <c r="AB542" s="242"/>
      <c r="AC542" s="242"/>
      <c r="AD542" s="242"/>
      <c r="AE542" s="242"/>
      <c r="AF542" s="242"/>
      <c r="AG542" s="242"/>
      <c r="AH542" s="242"/>
      <c r="AI542" s="242"/>
      <c r="AJ542" s="242"/>
      <c r="AK542" s="242"/>
      <c r="AL542" s="242"/>
      <c r="AM542" s="242"/>
      <c r="AN542" s="241"/>
      <c r="AO542" s="242"/>
      <c r="AP542" s="242"/>
      <c r="AQ542" s="242"/>
      <c r="AR542" s="242"/>
      <c r="AS542" s="242"/>
      <c r="AT542" s="242"/>
      <c r="AU542" s="242"/>
      <c r="AV542" s="242"/>
      <c r="AW542" s="242"/>
      <c r="AX542" s="242"/>
      <c r="AY542" s="242"/>
      <c r="AZ542" s="242"/>
      <c r="BA542" s="242"/>
      <c r="BB542" s="237"/>
      <c r="BC542" s="242"/>
      <c r="BD542" s="242"/>
      <c r="BE542" s="242"/>
      <c r="BF542" s="242"/>
      <c r="BG542" s="242"/>
      <c r="BH542" s="242"/>
      <c r="BI542" s="242"/>
      <c r="BJ542" s="242"/>
      <c r="BK542" s="242"/>
      <c r="BL542" s="242"/>
      <c r="BM542" s="242"/>
      <c r="BN542" s="242"/>
      <c r="BO542" s="242"/>
      <c r="BP542" s="242"/>
    </row>
    <row r="543" spans="1:68" ht="14.25" hidden="1" customHeight="1" outlineLevel="1">
      <c r="A543" s="233"/>
      <c r="B543" s="237"/>
      <c r="C543" s="237"/>
      <c r="D543" s="237"/>
      <c r="E543" s="242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34"/>
      <c r="T543" s="242"/>
      <c r="U543" s="242"/>
      <c r="V543" s="242"/>
      <c r="W543" s="242"/>
      <c r="X543" s="242"/>
      <c r="Y543" s="242"/>
      <c r="Z543" s="242"/>
      <c r="AA543" s="242"/>
      <c r="AB543" s="242"/>
      <c r="AC543" s="242"/>
      <c r="AD543" s="242"/>
      <c r="AE543" s="242"/>
      <c r="AF543" s="242"/>
      <c r="AG543" s="242"/>
      <c r="AH543" s="242"/>
      <c r="AI543" s="242"/>
      <c r="AJ543" s="242"/>
      <c r="AK543" s="242"/>
      <c r="AL543" s="242"/>
      <c r="AM543" s="242"/>
      <c r="AN543" s="241"/>
      <c r="AO543" s="242"/>
      <c r="AP543" s="242"/>
      <c r="AQ543" s="242"/>
      <c r="AR543" s="242"/>
      <c r="AS543" s="242"/>
      <c r="AT543" s="242"/>
      <c r="AU543" s="242"/>
      <c r="AV543" s="242"/>
      <c r="AW543" s="242"/>
      <c r="AX543" s="242"/>
      <c r="AY543" s="242"/>
      <c r="AZ543" s="242"/>
      <c r="BA543" s="242"/>
      <c r="BB543" s="237"/>
      <c r="BC543" s="242"/>
      <c r="BD543" s="242"/>
      <c r="BE543" s="242"/>
      <c r="BF543" s="242"/>
      <c r="BG543" s="242"/>
      <c r="BH543" s="242"/>
      <c r="BI543" s="242"/>
      <c r="BJ543" s="242"/>
      <c r="BK543" s="242"/>
      <c r="BL543" s="242"/>
      <c r="BM543" s="242"/>
      <c r="BN543" s="242"/>
      <c r="BO543" s="242"/>
      <c r="BP543" s="242"/>
    </row>
    <row r="544" spans="1:68" ht="14.25" hidden="1" customHeight="1" outlineLevel="1">
      <c r="A544" s="233"/>
      <c r="B544" s="237"/>
      <c r="C544" s="237"/>
      <c r="D544" s="237"/>
      <c r="E544" s="242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34"/>
      <c r="T544" s="242"/>
      <c r="U544" s="242"/>
      <c r="V544" s="242"/>
      <c r="W544" s="242"/>
      <c r="X544" s="242"/>
      <c r="Y544" s="242"/>
      <c r="Z544" s="242"/>
      <c r="AA544" s="242"/>
      <c r="AB544" s="242"/>
      <c r="AC544" s="242"/>
      <c r="AD544" s="242"/>
      <c r="AE544" s="242"/>
      <c r="AF544" s="242"/>
      <c r="AG544" s="242"/>
      <c r="AH544" s="242"/>
      <c r="AI544" s="242"/>
      <c r="AJ544" s="242"/>
      <c r="AK544" s="242"/>
      <c r="AL544" s="242"/>
      <c r="AM544" s="242"/>
      <c r="AN544" s="241"/>
      <c r="AO544" s="242"/>
      <c r="AP544" s="242"/>
      <c r="AQ544" s="242"/>
      <c r="AR544" s="242"/>
      <c r="AS544" s="242"/>
      <c r="AT544" s="242"/>
      <c r="AU544" s="242"/>
      <c r="AV544" s="242"/>
      <c r="AW544" s="242"/>
      <c r="AX544" s="242"/>
      <c r="AY544" s="242"/>
      <c r="AZ544" s="242"/>
      <c r="BA544" s="242"/>
      <c r="BB544" s="237"/>
      <c r="BC544" s="242"/>
      <c r="BD544" s="242"/>
      <c r="BE544" s="242"/>
      <c r="BF544" s="242"/>
      <c r="BG544" s="242"/>
      <c r="BH544" s="242"/>
      <c r="BI544" s="242"/>
      <c r="BJ544" s="242"/>
      <c r="BK544" s="242"/>
      <c r="BL544" s="242"/>
      <c r="BM544" s="242"/>
      <c r="BN544" s="242"/>
      <c r="BO544" s="242"/>
      <c r="BP544" s="242"/>
    </row>
    <row r="545" spans="1:68" ht="14.25" hidden="1" customHeight="1" outlineLevel="1">
      <c r="A545" s="233"/>
      <c r="B545" s="237"/>
      <c r="C545" s="237"/>
      <c r="D545" s="237"/>
      <c r="E545" s="242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34"/>
      <c r="T545" s="242"/>
      <c r="U545" s="242"/>
      <c r="V545" s="242"/>
      <c r="W545" s="242"/>
      <c r="X545" s="242"/>
      <c r="Y545" s="242"/>
      <c r="Z545" s="242"/>
      <c r="AA545" s="242"/>
      <c r="AB545" s="242"/>
      <c r="AC545" s="242"/>
      <c r="AD545" s="242"/>
      <c r="AE545" s="242"/>
      <c r="AF545" s="242"/>
      <c r="AG545" s="242"/>
      <c r="AH545" s="242"/>
      <c r="AI545" s="242"/>
      <c r="AJ545" s="242"/>
      <c r="AK545" s="242"/>
      <c r="AL545" s="242"/>
      <c r="AM545" s="242"/>
      <c r="AN545" s="241"/>
      <c r="AO545" s="242"/>
      <c r="AP545" s="242"/>
      <c r="AQ545" s="242"/>
      <c r="AR545" s="242"/>
      <c r="AS545" s="242"/>
      <c r="AT545" s="242"/>
      <c r="AU545" s="242"/>
      <c r="AV545" s="242"/>
      <c r="AW545" s="242"/>
      <c r="AX545" s="242"/>
      <c r="AY545" s="242"/>
      <c r="AZ545" s="242"/>
      <c r="BA545" s="242"/>
      <c r="BB545" s="237"/>
      <c r="BC545" s="242"/>
      <c r="BD545" s="242"/>
      <c r="BE545" s="242"/>
      <c r="BF545" s="242"/>
      <c r="BG545" s="242"/>
      <c r="BH545" s="242"/>
      <c r="BI545" s="242"/>
      <c r="BJ545" s="242"/>
      <c r="BK545" s="242"/>
      <c r="BL545" s="242"/>
      <c r="BM545" s="242"/>
      <c r="BN545" s="242"/>
      <c r="BO545" s="242"/>
      <c r="BP545" s="242"/>
    </row>
    <row r="546" spans="1:68" ht="14.25" hidden="1" customHeight="1" outlineLevel="1">
      <c r="A546" s="233"/>
      <c r="B546" s="237"/>
      <c r="C546" s="237"/>
      <c r="D546" s="237"/>
      <c r="E546" s="242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34"/>
      <c r="T546" s="242"/>
      <c r="U546" s="242"/>
      <c r="V546" s="242"/>
      <c r="W546" s="242"/>
      <c r="X546" s="242"/>
      <c r="Y546" s="242"/>
      <c r="Z546" s="242"/>
      <c r="AA546" s="242"/>
      <c r="AB546" s="242"/>
      <c r="AC546" s="242"/>
      <c r="AD546" s="242"/>
      <c r="AE546" s="242"/>
      <c r="AF546" s="242"/>
      <c r="AG546" s="242"/>
      <c r="AH546" s="242"/>
      <c r="AI546" s="242"/>
      <c r="AJ546" s="242"/>
      <c r="AK546" s="242"/>
      <c r="AL546" s="242"/>
      <c r="AM546" s="242"/>
      <c r="AN546" s="241"/>
      <c r="AO546" s="242"/>
      <c r="AP546" s="242"/>
      <c r="AQ546" s="242"/>
      <c r="AR546" s="242"/>
      <c r="AS546" s="242"/>
      <c r="AT546" s="242"/>
      <c r="AU546" s="242"/>
      <c r="AV546" s="242"/>
      <c r="AW546" s="242"/>
      <c r="AX546" s="242"/>
      <c r="AY546" s="242"/>
      <c r="AZ546" s="242"/>
      <c r="BA546" s="242"/>
      <c r="BB546" s="237"/>
      <c r="BC546" s="242"/>
      <c r="BD546" s="242"/>
      <c r="BE546" s="242"/>
      <c r="BF546" s="242"/>
      <c r="BG546" s="242"/>
      <c r="BH546" s="242"/>
      <c r="BI546" s="242"/>
      <c r="BJ546" s="242"/>
      <c r="BK546" s="242"/>
      <c r="BL546" s="242"/>
      <c r="BM546" s="242"/>
      <c r="BN546" s="242"/>
      <c r="BO546" s="242"/>
      <c r="BP546" s="242"/>
    </row>
    <row r="547" spans="1:68" ht="14.25" hidden="1" customHeight="1" outlineLevel="1">
      <c r="A547" s="233"/>
      <c r="B547" s="237"/>
      <c r="C547" s="237"/>
      <c r="D547" s="237"/>
      <c r="E547" s="242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34"/>
      <c r="T547" s="242"/>
      <c r="U547" s="242"/>
      <c r="V547" s="242"/>
      <c r="W547" s="242"/>
      <c r="X547" s="242"/>
      <c r="Y547" s="242"/>
      <c r="Z547" s="242"/>
      <c r="AA547" s="242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2"/>
      <c r="AN547" s="241"/>
      <c r="AO547" s="242"/>
      <c r="AP547" s="242"/>
      <c r="AQ547" s="242"/>
      <c r="AR547" s="242"/>
      <c r="AS547" s="242"/>
      <c r="AT547" s="242"/>
      <c r="AU547" s="242"/>
      <c r="AV547" s="242"/>
      <c r="AW547" s="242"/>
      <c r="AX547" s="242"/>
      <c r="AY547" s="242"/>
      <c r="AZ547" s="242"/>
      <c r="BA547" s="242"/>
      <c r="BB547" s="237"/>
      <c r="BC547" s="242"/>
      <c r="BD547" s="242"/>
      <c r="BE547" s="242"/>
      <c r="BF547" s="242"/>
      <c r="BG547" s="242"/>
      <c r="BH547" s="242"/>
      <c r="BI547" s="242"/>
      <c r="BJ547" s="242"/>
      <c r="BK547" s="242"/>
      <c r="BL547" s="242"/>
      <c r="BM547" s="242"/>
      <c r="BN547" s="242"/>
      <c r="BO547" s="242"/>
      <c r="BP547" s="242"/>
    </row>
    <row r="548" spans="1:68" ht="14.25" hidden="1" customHeight="1" outlineLevel="1">
      <c r="A548" s="233"/>
      <c r="B548" s="237"/>
      <c r="C548" s="237"/>
      <c r="D548" s="237"/>
      <c r="E548" s="242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34"/>
      <c r="T548" s="242"/>
      <c r="U548" s="242"/>
      <c r="V548" s="242"/>
      <c r="W548" s="242"/>
      <c r="X548" s="242"/>
      <c r="Y548" s="242"/>
      <c r="Z548" s="242"/>
      <c r="AA548" s="242"/>
      <c r="AB548" s="242"/>
      <c r="AC548" s="242"/>
      <c r="AD548" s="242"/>
      <c r="AE548" s="242"/>
      <c r="AF548" s="242"/>
      <c r="AG548" s="242"/>
      <c r="AH548" s="242"/>
      <c r="AI548" s="242"/>
      <c r="AJ548" s="242"/>
      <c r="AK548" s="242"/>
      <c r="AL548" s="242"/>
      <c r="AM548" s="242"/>
      <c r="AN548" s="241"/>
      <c r="AO548" s="242"/>
      <c r="AP548" s="242"/>
      <c r="AQ548" s="242"/>
      <c r="AR548" s="242"/>
      <c r="AS548" s="242"/>
      <c r="AT548" s="242"/>
      <c r="AU548" s="242"/>
      <c r="AV548" s="242"/>
      <c r="AW548" s="242"/>
      <c r="AX548" s="242"/>
      <c r="AY548" s="242"/>
      <c r="AZ548" s="242"/>
      <c r="BA548" s="242"/>
      <c r="BB548" s="237"/>
      <c r="BC548" s="242"/>
      <c r="BD548" s="242"/>
      <c r="BE548" s="242"/>
      <c r="BF548" s="242"/>
      <c r="BG548" s="242"/>
      <c r="BH548" s="242"/>
      <c r="BI548" s="242"/>
      <c r="BJ548" s="242"/>
      <c r="BK548" s="242"/>
      <c r="BL548" s="242"/>
      <c r="BM548" s="242"/>
      <c r="BN548" s="242"/>
      <c r="BO548" s="242"/>
      <c r="BP548" s="242"/>
    </row>
    <row r="549" spans="1:68" ht="14.25" hidden="1" customHeight="1" outlineLevel="1">
      <c r="A549" s="233"/>
      <c r="B549" s="237"/>
      <c r="C549" s="237"/>
      <c r="D549" s="237"/>
      <c r="E549" s="242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34"/>
      <c r="T549" s="242"/>
      <c r="U549" s="242"/>
      <c r="V549" s="242"/>
      <c r="W549" s="242"/>
      <c r="X549" s="242"/>
      <c r="Y549" s="242"/>
      <c r="Z549" s="242"/>
      <c r="AA549" s="242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2"/>
      <c r="AN549" s="241"/>
      <c r="AO549" s="242"/>
      <c r="AP549" s="242"/>
      <c r="AQ549" s="242"/>
      <c r="AR549" s="242"/>
      <c r="AS549" s="242"/>
      <c r="AT549" s="242"/>
      <c r="AU549" s="242"/>
      <c r="AV549" s="242"/>
      <c r="AW549" s="242"/>
      <c r="AX549" s="242"/>
      <c r="AY549" s="242"/>
      <c r="AZ549" s="242"/>
      <c r="BA549" s="242"/>
      <c r="BB549" s="237"/>
      <c r="BC549" s="242"/>
      <c r="BD549" s="242"/>
      <c r="BE549" s="242"/>
      <c r="BF549" s="242"/>
      <c r="BG549" s="242"/>
      <c r="BH549" s="242"/>
      <c r="BI549" s="242"/>
      <c r="BJ549" s="242"/>
      <c r="BK549" s="242"/>
      <c r="BL549" s="242"/>
      <c r="BM549" s="242"/>
      <c r="BN549" s="242"/>
      <c r="BO549" s="242"/>
      <c r="BP549" s="242"/>
    </row>
    <row r="550" spans="1:68" ht="14.25" hidden="1" customHeight="1" outlineLevel="1">
      <c r="A550" s="233"/>
      <c r="B550" s="237"/>
      <c r="C550" s="237"/>
      <c r="D550" s="237"/>
      <c r="E550" s="242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34"/>
      <c r="T550" s="242"/>
      <c r="U550" s="242"/>
      <c r="V550" s="242"/>
      <c r="W550" s="242"/>
      <c r="X550" s="242"/>
      <c r="Y550" s="242"/>
      <c r="Z550" s="242"/>
      <c r="AA550" s="242"/>
      <c r="AB550" s="242"/>
      <c r="AC550" s="242"/>
      <c r="AD550" s="242"/>
      <c r="AE550" s="242"/>
      <c r="AF550" s="242"/>
      <c r="AG550" s="242"/>
      <c r="AH550" s="242"/>
      <c r="AI550" s="242"/>
      <c r="AJ550" s="242"/>
      <c r="AK550" s="242"/>
      <c r="AL550" s="242"/>
      <c r="AM550" s="242"/>
      <c r="AN550" s="241"/>
      <c r="AO550" s="242"/>
      <c r="AP550" s="242"/>
      <c r="AQ550" s="242"/>
      <c r="AR550" s="242"/>
      <c r="AS550" s="242"/>
      <c r="AT550" s="242"/>
      <c r="AU550" s="242"/>
      <c r="AV550" s="242"/>
      <c r="AW550" s="242"/>
      <c r="AX550" s="242"/>
      <c r="AY550" s="242"/>
      <c r="AZ550" s="242"/>
      <c r="BA550" s="242"/>
      <c r="BB550" s="237"/>
      <c r="BC550" s="242"/>
      <c r="BD550" s="242"/>
      <c r="BE550" s="242"/>
      <c r="BF550" s="242"/>
      <c r="BG550" s="242"/>
      <c r="BH550" s="242"/>
      <c r="BI550" s="242"/>
      <c r="BJ550" s="242"/>
      <c r="BK550" s="242"/>
      <c r="BL550" s="242"/>
      <c r="BM550" s="242"/>
      <c r="BN550" s="242"/>
      <c r="BO550" s="242"/>
      <c r="BP550" s="242"/>
    </row>
    <row r="551" spans="1:68" ht="14.25" hidden="1" customHeight="1" outlineLevel="1">
      <c r="A551" s="233"/>
      <c r="B551" s="237"/>
      <c r="C551" s="237"/>
      <c r="D551" s="237"/>
      <c r="E551" s="242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34"/>
      <c r="T551" s="242"/>
      <c r="U551" s="242"/>
      <c r="V551" s="242"/>
      <c r="W551" s="242"/>
      <c r="X551" s="242"/>
      <c r="Y551" s="242"/>
      <c r="Z551" s="242"/>
      <c r="AA551" s="242"/>
      <c r="AB551" s="242"/>
      <c r="AC551" s="242"/>
      <c r="AD551" s="242"/>
      <c r="AE551" s="242"/>
      <c r="AF551" s="242"/>
      <c r="AG551" s="242"/>
      <c r="AH551" s="242"/>
      <c r="AI551" s="242"/>
      <c r="AJ551" s="242"/>
      <c r="AK551" s="242"/>
      <c r="AL551" s="242"/>
      <c r="AM551" s="242"/>
      <c r="AN551" s="241"/>
      <c r="AO551" s="242"/>
      <c r="AP551" s="242"/>
      <c r="AQ551" s="242"/>
      <c r="AR551" s="242"/>
      <c r="AS551" s="242"/>
      <c r="AT551" s="242"/>
      <c r="AU551" s="242"/>
      <c r="AV551" s="242"/>
      <c r="AW551" s="242"/>
      <c r="AX551" s="242"/>
      <c r="AY551" s="242"/>
      <c r="AZ551" s="242"/>
      <c r="BA551" s="242"/>
      <c r="BB551" s="237"/>
      <c r="BC551" s="242"/>
      <c r="BD551" s="242"/>
      <c r="BE551" s="242"/>
      <c r="BF551" s="242"/>
      <c r="BG551" s="242"/>
      <c r="BH551" s="242"/>
      <c r="BI551" s="242"/>
      <c r="BJ551" s="242"/>
      <c r="BK551" s="242"/>
      <c r="BL551" s="242"/>
      <c r="BM551" s="242"/>
      <c r="BN551" s="242"/>
      <c r="BO551" s="242"/>
      <c r="BP551" s="242"/>
    </row>
    <row r="552" spans="1:68" ht="14.25" hidden="1" customHeight="1" outlineLevel="1">
      <c r="A552" s="233"/>
      <c r="B552" s="237"/>
      <c r="C552" s="237"/>
      <c r="D552" s="237"/>
      <c r="E552" s="242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34"/>
      <c r="T552" s="242"/>
      <c r="U552" s="242"/>
      <c r="V552" s="242"/>
      <c r="W552" s="242"/>
      <c r="X552" s="242"/>
      <c r="Y552" s="242"/>
      <c r="Z552" s="242"/>
      <c r="AA552" s="242"/>
      <c r="AB552" s="242"/>
      <c r="AC552" s="242"/>
      <c r="AD552" s="242"/>
      <c r="AE552" s="242"/>
      <c r="AF552" s="242"/>
      <c r="AG552" s="242"/>
      <c r="AH552" s="242"/>
      <c r="AI552" s="242"/>
      <c r="AJ552" s="242"/>
      <c r="AK552" s="242"/>
      <c r="AL552" s="242"/>
      <c r="AM552" s="242"/>
      <c r="AN552" s="241"/>
      <c r="AO552" s="242"/>
      <c r="AP552" s="242"/>
      <c r="AQ552" s="242"/>
      <c r="AR552" s="242"/>
      <c r="AS552" s="242"/>
      <c r="AT552" s="242"/>
      <c r="AU552" s="242"/>
      <c r="AV552" s="242"/>
      <c r="AW552" s="242"/>
      <c r="AX552" s="242"/>
      <c r="AY552" s="242"/>
      <c r="AZ552" s="242"/>
      <c r="BA552" s="242"/>
      <c r="BB552" s="237"/>
      <c r="BC552" s="242"/>
      <c r="BD552" s="242"/>
      <c r="BE552" s="242"/>
      <c r="BF552" s="242"/>
      <c r="BG552" s="242"/>
      <c r="BH552" s="242"/>
      <c r="BI552" s="242"/>
      <c r="BJ552" s="242"/>
      <c r="BK552" s="242"/>
      <c r="BL552" s="242"/>
      <c r="BM552" s="242"/>
      <c r="BN552" s="242"/>
      <c r="BO552" s="242"/>
      <c r="BP552" s="242"/>
    </row>
    <row r="553" spans="1:68" ht="14.25" hidden="1" customHeight="1" outlineLevel="1">
      <c r="A553" s="233"/>
      <c r="B553" s="237"/>
      <c r="C553" s="237"/>
      <c r="D553" s="237"/>
      <c r="E553" s="242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34"/>
      <c r="T553" s="242"/>
      <c r="U553" s="242"/>
      <c r="V553" s="242"/>
      <c r="W553" s="242"/>
      <c r="X553" s="242"/>
      <c r="Y553" s="242"/>
      <c r="Z553" s="242"/>
      <c r="AA553" s="242"/>
      <c r="AB553" s="242"/>
      <c r="AC553" s="242"/>
      <c r="AD553" s="242"/>
      <c r="AE553" s="242"/>
      <c r="AF553" s="242"/>
      <c r="AG553" s="242"/>
      <c r="AH553" s="242"/>
      <c r="AI553" s="242"/>
      <c r="AJ553" s="242"/>
      <c r="AK553" s="242"/>
      <c r="AL553" s="242"/>
      <c r="AM553" s="242"/>
      <c r="AN553" s="241"/>
      <c r="AO553" s="242"/>
      <c r="AP553" s="242"/>
      <c r="AQ553" s="242"/>
      <c r="AR553" s="242"/>
      <c r="AS553" s="242"/>
      <c r="AT553" s="242"/>
      <c r="AU553" s="242"/>
      <c r="AV553" s="242"/>
      <c r="AW553" s="242"/>
      <c r="AX553" s="242"/>
      <c r="AY553" s="242"/>
      <c r="AZ553" s="242"/>
      <c r="BA553" s="242"/>
      <c r="BB553" s="237"/>
      <c r="BC553" s="242"/>
      <c r="BD553" s="242"/>
      <c r="BE553" s="242"/>
      <c r="BF553" s="242"/>
      <c r="BG553" s="242"/>
      <c r="BH553" s="242"/>
      <c r="BI553" s="242"/>
      <c r="BJ553" s="242"/>
      <c r="BK553" s="242"/>
      <c r="BL553" s="242"/>
      <c r="BM553" s="242"/>
      <c r="BN553" s="242"/>
      <c r="BO553" s="242"/>
      <c r="BP553" s="242"/>
    </row>
    <row r="554" spans="1:68" ht="14.25" hidden="1" customHeight="1" outlineLevel="1">
      <c r="A554" s="233"/>
      <c r="B554" s="237"/>
      <c r="C554" s="237"/>
      <c r="D554" s="237"/>
      <c r="E554" s="242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34"/>
      <c r="T554" s="242"/>
      <c r="U554" s="242"/>
      <c r="V554" s="242"/>
      <c r="W554" s="242"/>
      <c r="X554" s="242"/>
      <c r="Y554" s="242"/>
      <c r="Z554" s="242"/>
      <c r="AA554" s="242"/>
      <c r="AB554" s="242"/>
      <c r="AC554" s="242"/>
      <c r="AD554" s="242"/>
      <c r="AE554" s="242"/>
      <c r="AF554" s="242"/>
      <c r="AG554" s="242"/>
      <c r="AH554" s="242"/>
      <c r="AI554" s="242"/>
      <c r="AJ554" s="242"/>
      <c r="AK554" s="242"/>
      <c r="AL554" s="242"/>
      <c r="AM554" s="242"/>
      <c r="AN554" s="241"/>
      <c r="AO554" s="242"/>
      <c r="AP554" s="242"/>
      <c r="AQ554" s="242"/>
      <c r="AR554" s="242"/>
      <c r="AS554" s="242"/>
      <c r="AT554" s="242"/>
      <c r="AU554" s="242"/>
      <c r="AV554" s="242"/>
      <c r="AW554" s="242"/>
      <c r="AX554" s="242"/>
      <c r="AY554" s="242"/>
      <c r="AZ554" s="242"/>
      <c r="BA554" s="242"/>
      <c r="BB554" s="237"/>
      <c r="BC554" s="242"/>
      <c r="BD554" s="242"/>
      <c r="BE554" s="242"/>
      <c r="BF554" s="242"/>
      <c r="BG554" s="242"/>
      <c r="BH554" s="242"/>
      <c r="BI554" s="242"/>
      <c r="BJ554" s="242"/>
      <c r="BK554" s="242"/>
      <c r="BL554" s="242"/>
      <c r="BM554" s="242"/>
      <c r="BN554" s="242"/>
      <c r="BO554" s="242"/>
      <c r="BP554" s="242"/>
    </row>
    <row r="555" spans="1:68" ht="14.25" hidden="1" customHeight="1" outlineLevel="1">
      <c r="A555" s="233"/>
      <c r="B555" s="237"/>
      <c r="C555" s="237"/>
      <c r="D555" s="237"/>
      <c r="E555" s="242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34"/>
      <c r="T555" s="242"/>
      <c r="U555" s="242"/>
      <c r="V555" s="242"/>
      <c r="W555" s="242"/>
      <c r="X555" s="242"/>
      <c r="Y555" s="242"/>
      <c r="Z555" s="242"/>
      <c r="AA555" s="242"/>
      <c r="AB555" s="242"/>
      <c r="AC555" s="242"/>
      <c r="AD555" s="242"/>
      <c r="AE555" s="242"/>
      <c r="AF555" s="242"/>
      <c r="AG555" s="242"/>
      <c r="AH555" s="242"/>
      <c r="AI555" s="242"/>
      <c r="AJ555" s="242"/>
      <c r="AK555" s="242"/>
      <c r="AL555" s="242"/>
      <c r="AM555" s="242"/>
      <c r="AN555" s="241"/>
      <c r="AO555" s="242"/>
      <c r="AP555" s="242"/>
      <c r="AQ555" s="242"/>
      <c r="AR555" s="242"/>
      <c r="AS555" s="242"/>
      <c r="AT555" s="242"/>
      <c r="AU555" s="242"/>
      <c r="AV555" s="242"/>
      <c r="AW555" s="242"/>
      <c r="AX555" s="242"/>
      <c r="AY555" s="242"/>
      <c r="AZ555" s="242"/>
      <c r="BA555" s="242"/>
      <c r="BB555" s="237"/>
      <c r="BC555" s="242"/>
      <c r="BD555" s="242"/>
      <c r="BE555" s="242"/>
      <c r="BF555" s="242"/>
      <c r="BG555" s="242"/>
      <c r="BH555" s="242"/>
      <c r="BI555" s="242"/>
      <c r="BJ555" s="242"/>
      <c r="BK555" s="242"/>
      <c r="BL555" s="242"/>
      <c r="BM555" s="242"/>
      <c r="BN555" s="242"/>
      <c r="BO555" s="242"/>
      <c r="BP555" s="242"/>
    </row>
    <row r="556" spans="1:68" ht="14.25" hidden="1" customHeight="1" outlineLevel="1">
      <c r="A556" s="233"/>
      <c r="B556" s="237"/>
      <c r="C556" s="237"/>
      <c r="D556" s="237"/>
      <c r="E556" s="242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34"/>
      <c r="T556" s="242"/>
      <c r="U556" s="242"/>
      <c r="V556" s="242"/>
      <c r="W556" s="242"/>
      <c r="X556" s="242"/>
      <c r="Y556" s="242"/>
      <c r="Z556" s="242"/>
      <c r="AA556" s="242"/>
      <c r="AB556" s="242"/>
      <c r="AC556" s="242"/>
      <c r="AD556" s="242"/>
      <c r="AE556" s="242"/>
      <c r="AF556" s="242"/>
      <c r="AG556" s="242"/>
      <c r="AH556" s="242"/>
      <c r="AI556" s="242"/>
      <c r="AJ556" s="242"/>
      <c r="AK556" s="242"/>
      <c r="AL556" s="242"/>
      <c r="AM556" s="242"/>
      <c r="AN556" s="241"/>
      <c r="AO556" s="242"/>
      <c r="AP556" s="242"/>
      <c r="AQ556" s="242"/>
      <c r="AR556" s="242"/>
      <c r="AS556" s="242"/>
      <c r="AT556" s="242"/>
      <c r="AU556" s="242"/>
      <c r="AV556" s="242"/>
      <c r="AW556" s="242"/>
      <c r="AX556" s="242"/>
      <c r="AY556" s="242"/>
      <c r="AZ556" s="242"/>
      <c r="BA556" s="242"/>
      <c r="BB556" s="237"/>
      <c r="BC556" s="242"/>
      <c r="BD556" s="242"/>
      <c r="BE556" s="242"/>
      <c r="BF556" s="242"/>
      <c r="BG556" s="242"/>
      <c r="BH556" s="242"/>
      <c r="BI556" s="242"/>
      <c r="BJ556" s="242"/>
      <c r="BK556" s="242"/>
      <c r="BL556" s="242"/>
      <c r="BM556" s="242"/>
      <c r="BN556" s="242"/>
      <c r="BO556" s="242"/>
      <c r="BP556" s="242"/>
    </row>
    <row r="557" spans="1:68" ht="14.25" hidden="1" customHeight="1" outlineLevel="1">
      <c r="A557" s="233"/>
      <c r="B557" s="237"/>
      <c r="C557" s="237"/>
      <c r="D557" s="237"/>
      <c r="E557" s="242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34"/>
      <c r="T557" s="242"/>
      <c r="U557" s="242"/>
      <c r="V557" s="242"/>
      <c r="W557" s="242"/>
      <c r="X557" s="242"/>
      <c r="Y557" s="242"/>
      <c r="Z557" s="242"/>
      <c r="AA557" s="242"/>
      <c r="AB557" s="242"/>
      <c r="AC557" s="242"/>
      <c r="AD557" s="242"/>
      <c r="AE557" s="242"/>
      <c r="AF557" s="242"/>
      <c r="AG557" s="242"/>
      <c r="AH557" s="242"/>
      <c r="AI557" s="242"/>
      <c r="AJ557" s="242"/>
      <c r="AK557" s="242"/>
      <c r="AL557" s="242"/>
      <c r="AM557" s="242"/>
      <c r="AN557" s="241"/>
      <c r="AO557" s="242"/>
      <c r="AP557" s="242"/>
      <c r="AQ557" s="242"/>
      <c r="AR557" s="242"/>
      <c r="AS557" s="242"/>
      <c r="AT557" s="242"/>
      <c r="AU557" s="242"/>
      <c r="AV557" s="242"/>
      <c r="AW557" s="242"/>
      <c r="AX557" s="242"/>
      <c r="AY557" s="242"/>
      <c r="AZ557" s="242"/>
      <c r="BA557" s="242"/>
      <c r="BB557" s="237"/>
      <c r="BC557" s="242"/>
      <c r="BD557" s="242"/>
      <c r="BE557" s="242"/>
      <c r="BF557" s="242"/>
      <c r="BG557" s="242"/>
      <c r="BH557" s="242"/>
      <c r="BI557" s="242"/>
      <c r="BJ557" s="242"/>
      <c r="BK557" s="242"/>
      <c r="BL557" s="242"/>
      <c r="BM557" s="242"/>
      <c r="BN557" s="242"/>
      <c r="BO557" s="242"/>
      <c r="BP557" s="242"/>
    </row>
    <row r="558" spans="1:68" ht="14.25" hidden="1" customHeight="1" outlineLevel="1">
      <c r="A558" s="233"/>
      <c r="B558" s="237"/>
      <c r="C558" s="237"/>
      <c r="D558" s="237"/>
      <c r="E558" s="242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34"/>
      <c r="T558" s="242"/>
      <c r="U558" s="242"/>
      <c r="V558" s="242"/>
      <c r="W558" s="242"/>
      <c r="X558" s="242"/>
      <c r="Y558" s="242"/>
      <c r="Z558" s="242"/>
      <c r="AA558" s="242"/>
      <c r="AB558" s="242"/>
      <c r="AC558" s="242"/>
      <c r="AD558" s="242"/>
      <c r="AE558" s="242"/>
      <c r="AF558" s="242"/>
      <c r="AG558" s="242"/>
      <c r="AH558" s="242"/>
      <c r="AI558" s="242"/>
      <c r="AJ558" s="242"/>
      <c r="AK558" s="242"/>
      <c r="AL558" s="242"/>
      <c r="AM558" s="242"/>
      <c r="AN558" s="241"/>
      <c r="AO558" s="242"/>
      <c r="AP558" s="242"/>
      <c r="AQ558" s="242"/>
      <c r="AR558" s="242"/>
      <c r="AS558" s="242"/>
      <c r="AT558" s="242"/>
      <c r="AU558" s="242"/>
      <c r="AV558" s="242"/>
      <c r="AW558" s="242"/>
      <c r="AX558" s="242"/>
      <c r="AY558" s="242"/>
      <c r="AZ558" s="242"/>
      <c r="BA558" s="242"/>
      <c r="BB558" s="237"/>
      <c r="BC558" s="242"/>
      <c r="BD558" s="242"/>
      <c r="BE558" s="242"/>
      <c r="BF558" s="242"/>
      <c r="BG558" s="242"/>
      <c r="BH558" s="242"/>
      <c r="BI558" s="242"/>
      <c r="BJ558" s="242"/>
      <c r="BK558" s="242"/>
      <c r="BL558" s="242"/>
      <c r="BM558" s="242"/>
      <c r="BN558" s="242"/>
      <c r="BO558" s="242"/>
      <c r="BP558" s="242"/>
    </row>
    <row r="559" spans="1:68" ht="14.25" hidden="1" customHeight="1" outlineLevel="1">
      <c r="A559" s="233"/>
      <c r="B559" s="237"/>
      <c r="C559" s="237"/>
      <c r="D559" s="237"/>
      <c r="E559" s="242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34"/>
      <c r="T559" s="242"/>
      <c r="U559" s="242"/>
      <c r="V559" s="242"/>
      <c r="W559" s="242"/>
      <c r="X559" s="242"/>
      <c r="Y559" s="242"/>
      <c r="Z559" s="242"/>
      <c r="AA559" s="242"/>
      <c r="AB559" s="242"/>
      <c r="AC559" s="242"/>
      <c r="AD559" s="242"/>
      <c r="AE559" s="242"/>
      <c r="AF559" s="242"/>
      <c r="AG559" s="242"/>
      <c r="AH559" s="242"/>
      <c r="AI559" s="242"/>
      <c r="AJ559" s="242"/>
      <c r="AK559" s="242"/>
      <c r="AL559" s="242"/>
      <c r="AM559" s="242"/>
      <c r="AN559" s="241"/>
      <c r="AO559" s="242"/>
      <c r="AP559" s="242"/>
      <c r="AQ559" s="242"/>
      <c r="AR559" s="242"/>
      <c r="AS559" s="242"/>
      <c r="AT559" s="242"/>
      <c r="AU559" s="242"/>
      <c r="AV559" s="242"/>
      <c r="AW559" s="242"/>
      <c r="AX559" s="242"/>
      <c r="AY559" s="242"/>
      <c r="AZ559" s="242"/>
      <c r="BA559" s="242"/>
      <c r="BB559" s="237"/>
      <c r="BC559" s="242"/>
      <c r="BD559" s="242"/>
      <c r="BE559" s="242"/>
      <c r="BF559" s="242"/>
      <c r="BG559" s="242"/>
      <c r="BH559" s="242"/>
      <c r="BI559" s="242"/>
      <c r="BJ559" s="242"/>
      <c r="BK559" s="242"/>
      <c r="BL559" s="242"/>
      <c r="BM559" s="242"/>
      <c r="BN559" s="242"/>
      <c r="BO559" s="242"/>
      <c r="BP559" s="242"/>
    </row>
    <row r="560" spans="1:68" ht="14.25" hidden="1" customHeight="1" outlineLevel="1">
      <c r="A560" s="233"/>
      <c r="B560" s="237"/>
      <c r="C560" s="237"/>
      <c r="D560" s="237"/>
      <c r="E560" s="242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34"/>
      <c r="T560" s="242"/>
      <c r="U560" s="242"/>
      <c r="V560" s="242"/>
      <c r="W560" s="242"/>
      <c r="X560" s="242"/>
      <c r="Y560" s="242"/>
      <c r="Z560" s="242"/>
      <c r="AA560" s="242"/>
      <c r="AB560" s="242"/>
      <c r="AC560" s="242"/>
      <c r="AD560" s="242"/>
      <c r="AE560" s="242"/>
      <c r="AF560" s="242"/>
      <c r="AG560" s="242"/>
      <c r="AH560" s="242"/>
      <c r="AI560" s="242"/>
      <c r="AJ560" s="242"/>
      <c r="AK560" s="242"/>
      <c r="AL560" s="242"/>
      <c r="AM560" s="242"/>
      <c r="AN560" s="241"/>
      <c r="AO560" s="242"/>
      <c r="AP560" s="242"/>
      <c r="AQ560" s="242"/>
      <c r="AR560" s="242"/>
      <c r="AS560" s="242"/>
      <c r="AT560" s="242"/>
      <c r="AU560" s="242"/>
      <c r="AV560" s="242"/>
      <c r="AW560" s="242"/>
      <c r="AX560" s="242"/>
      <c r="AY560" s="242"/>
      <c r="AZ560" s="242"/>
      <c r="BA560" s="242"/>
      <c r="BB560" s="237"/>
      <c r="BC560" s="242"/>
      <c r="BD560" s="242"/>
      <c r="BE560" s="242"/>
      <c r="BF560" s="242"/>
      <c r="BG560" s="242"/>
      <c r="BH560" s="242"/>
      <c r="BI560" s="242"/>
      <c r="BJ560" s="242"/>
      <c r="BK560" s="242"/>
      <c r="BL560" s="242"/>
      <c r="BM560" s="242"/>
      <c r="BN560" s="242"/>
      <c r="BO560" s="242"/>
      <c r="BP560" s="242"/>
    </row>
    <row r="561" spans="1:68" ht="14.25" hidden="1" customHeight="1" outlineLevel="1">
      <c r="A561" s="233"/>
      <c r="B561" s="237"/>
      <c r="C561" s="237"/>
      <c r="D561" s="237"/>
      <c r="E561" s="242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34"/>
      <c r="T561" s="242"/>
      <c r="U561" s="242"/>
      <c r="V561" s="242"/>
      <c r="W561" s="242"/>
      <c r="X561" s="242"/>
      <c r="Y561" s="242"/>
      <c r="Z561" s="242"/>
      <c r="AA561" s="242"/>
      <c r="AB561" s="242"/>
      <c r="AC561" s="242"/>
      <c r="AD561" s="242"/>
      <c r="AE561" s="242"/>
      <c r="AF561" s="242"/>
      <c r="AG561" s="242"/>
      <c r="AH561" s="242"/>
      <c r="AI561" s="242"/>
      <c r="AJ561" s="242"/>
      <c r="AK561" s="242"/>
      <c r="AL561" s="242"/>
      <c r="AM561" s="242"/>
      <c r="AN561" s="241"/>
      <c r="AO561" s="242"/>
      <c r="AP561" s="242"/>
      <c r="AQ561" s="242"/>
      <c r="AR561" s="242"/>
      <c r="AS561" s="242"/>
      <c r="AT561" s="242"/>
      <c r="AU561" s="242"/>
      <c r="AV561" s="242"/>
      <c r="AW561" s="242"/>
      <c r="AX561" s="242"/>
      <c r="AY561" s="242"/>
      <c r="AZ561" s="242"/>
      <c r="BA561" s="242"/>
      <c r="BB561" s="237"/>
      <c r="BC561" s="242"/>
      <c r="BD561" s="242"/>
      <c r="BE561" s="242"/>
      <c r="BF561" s="242"/>
      <c r="BG561" s="242"/>
      <c r="BH561" s="242"/>
      <c r="BI561" s="242"/>
      <c r="BJ561" s="242"/>
      <c r="BK561" s="242"/>
      <c r="BL561" s="242"/>
      <c r="BM561" s="242"/>
      <c r="BN561" s="242"/>
      <c r="BO561" s="242"/>
      <c r="BP561" s="242"/>
    </row>
    <row r="562" spans="1:68" ht="14.25" hidden="1" customHeight="1" outlineLevel="1">
      <c r="A562" s="233"/>
      <c r="B562" s="237"/>
      <c r="C562" s="237"/>
      <c r="D562" s="237"/>
      <c r="E562" s="242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34"/>
      <c r="T562" s="242"/>
      <c r="U562" s="242"/>
      <c r="V562" s="242"/>
      <c r="W562" s="242"/>
      <c r="X562" s="242"/>
      <c r="Y562" s="242"/>
      <c r="Z562" s="242"/>
      <c r="AA562" s="242"/>
      <c r="AB562" s="242"/>
      <c r="AC562" s="242"/>
      <c r="AD562" s="242"/>
      <c r="AE562" s="242"/>
      <c r="AF562" s="242"/>
      <c r="AG562" s="242"/>
      <c r="AH562" s="242"/>
      <c r="AI562" s="242"/>
      <c r="AJ562" s="242"/>
      <c r="AK562" s="242"/>
      <c r="AL562" s="242"/>
      <c r="AM562" s="242"/>
      <c r="AN562" s="241"/>
      <c r="AO562" s="242"/>
      <c r="AP562" s="242"/>
      <c r="AQ562" s="242"/>
      <c r="AR562" s="242"/>
      <c r="AS562" s="242"/>
      <c r="AT562" s="242"/>
      <c r="AU562" s="242"/>
      <c r="AV562" s="242"/>
      <c r="AW562" s="242"/>
      <c r="AX562" s="242"/>
      <c r="AY562" s="242"/>
      <c r="AZ562" s="242"/>
      <c r="BA562" s="242"/>
      <c r="BB562" s="237"/>
      <c r="BC562" s="242"/>
      <c r="BD562" s="242"/>
      <c r="BE562" s="242"/>
      <c r="BF562" s="242"/>
      <c r="BG562" s="242"/>
      <c r="BH562" s="242"/>
      <c r="BI562" s="242"/>
      <c r="BJ562" s="242"/>
      <c r="BK562" s="242"/>
      <c r="BL562" s="242"/>
      <c r="BM562" s="242"/>
      <c r="BN562" s="242"/>
      <c r="BO562" s="242"/>
      <c r="BP562" s="242"/>
    </row>
    <row r="563" spans="1:68" ht="14.25" hidden="1" customHeight="1" outlineLevel="1">
      <c r="A563" s="233"/>
      <c r="B563" s="237"/>
      <c r="C563" s="237"/>
      <c r="D563" s="237"/>
      <c r="E563" s="242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34"/>
      <c r="T563" s="242"/>
      <c r="U563" s="242"/>
      <c r="V563" s="242"/>
      <c r="W563" s="242"/>
      <c r="X563" s="242"/>
      <c r="Y563" s="242"/>
      <c r="Z563" s="242"/>
      <c r="AA563" s="242"/>
      <c r="AB563" s="242"/>
      <c r="AC563" s="242"/>
      <c r="AD563" s="242"/>
      <c r="AE563" s="242"/>
      <c r="AF563" s="242"/>
      <c r="AG563" s="242"/>
      <c r="AH563" s="242"/>
      <c r="AI563" s="242"/>
      <c r="AJ563" s="242"/>
      <c r="AK563" s="242"/>
      <c r="AL563" s="242"/>
      <c r="AM563" s="242"/>
      <c r="AN563" s="241"/>
      <c r="AO563" s="242"/>
      <c r="AP563" s="242"/>
      <c r="AQ563" s="242"/>
      <c r="AR563" s="242"/>
      <c r="AS563" s="242"/>
      <c r="AT563" s="242"/>
      <c r="AU563" s="242"/>
      <c r="AV563" s="242"/>
      <c r="AW563" s="242"/>
      <c r="AX563" s="242"/>
      <c r="AY563" s="242"/>
      <c r="AZ563" s="242"/>
      <c r="BA563" s="242"/>
      <c r="BB563" s="237"/>
      <c r="BC563" s="242"/>
      <c r="BD563" s="242"/>
      <c r="BE563" s="242"/>
      <c r="BF563" s="242"/>
      <c r="BG563" s="242"/>
      <c r="BH563" s="242"/>
      <c r="BI563" s="242"/>
      <c r="BJ563" s="242"/>
      <c r="BK563" s="242"/>
      <c r="BL563" s="242"/>
      <c r="BM563" s="242"/>
      <c r="BN563" s="242"/>
      <c r="BO563" s="242"/>
      <c r="BP563" s="242"/>
    </row>
    <row r="564" spans="1:68" ht="14.25" hidden="1" customHeight="1" outlineLevel="1">
      <c r="A564" s="233"/>
      <c r="B564" s="237"/>
      <c r="C564" s="237"/>
      <c r="D564" s="237"/>
      <c r="E564" s="242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34"/>
      <c r="T564" s="242"/>
      <c r="U564" s="242"/>
      <c r="V564" s="242"/>
      <c r="W564" s="242"/>
      <c r="X564" s="242"/>
      <c r="Y564" s="242"/>
      <c r="Z564" s="242"/>
      <c r="AA564" s="242"/>
      <c r="AB564" s="242"/>
      <c r="AC564" s="242"/>
      <c r="AD564" s="242"/>
      <c r="AE564" s="242"/>
      <c r="AF564" s="242"/>
      <c r="AG564" s="242"/>
      <c r="AH564" s="242"/>
      <c r="AI564" s="242"/>
      <c r="AJ564" s="242"/>
      <c r="AK564" s="242"/>
      <c r="AL564" s="242"/>
      <c r="AM564" s="242"/>
      <c r="AN564" s="241"/>
      <c r="AO564" s="242"/>
      <c r="AP564" s="242"/>
      <c r="AQ564" s="242"/>
      <c r="AR564" s="242"/>
      <c r="AS564" s="242"/>
      <c r="AT564" s="242"/>
      <c r="AU564" s="242"/>
      <c r="AV564" s="242"/>
      <c r="AW564" s="242"/>
      <c r="AX564" s="242"/>
      <c r="AY564" s="242"/>
      <c r="AZ564" s="242"/>
      <c r="BA564" s="242"/>
      <c r="BB564" s="237"/>
      <c r="BC564" s="242"/>
      <c r="BD564" s="242"/>
      <c r="BE564" s="242"/>
      <c r="BF564" s="242"/>
      <c r="BG564" s="242"/>
      <c r="BH564" s="242"/>
      <c r="BI564" s="242"/>
      <c r="BJ564" s="242"/>
      <c r="BK564" s="242"/>
      <c r="BL564" s="242"/>
      <c r="BM564" s="242"/>
      <c r="BN564" s="242"/>
      <c r="BO564" s="242"/>
      <c r="BP564" s="242"/>
    </row>
    <row r="565" spans="1:68" ht="14.25" hidden="1" customHeight="1" outlineLevel="1">
      <c r="A565" s="233"/>
      <c r="B565" s="237"/>
      <c r="C565" s="237"/>
      <c r="D565" s="237"/>
      <c r="E565" s="242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34"/>
      <c r="T565" s="242"/>
      <c r="U565" s="242"/>
      <c r="V565" s="242"/>
      <c r="W565" s="242"/>
      <c r="X565" s="242"/>
      <c r="Y565" s="242"/>
      <c r="Z565" s="242"/>
      <c r="AA565" s="242"/>
      <c r="AB565" s="242"/>
      <c r="AC565" s="242"/>
      <c r="AD565" s="242"/>
      <c r="AE565" s="242"/>
      <c r="AF565" s="242"/>
      <c r="AG565" s="242"/>
      <c r="AH565" s="242"/>
      <c r="AI565" s="242"/>
      <c r="AJ565" s="242"/>
      <c r="AK565" s="242"/>
      <c r="AL565" s="242"/>
      <c r="AM565" s="242"/>
      <c r="AN565" s="241"/>
      <c r="AO565" s="242"/>
      <c r="AP565" s="242"/>
      <c r="AQ565" s="242"/>
      <c r="AR565" s="242"/>
      <c r="AS565" s="242"/>
      <c r="AT565" s="242"/>
      <c r="AU565" s="242"/>
      <c r="AV565" s="242"/>
      <c r="AW565" s="242"/>
      <c r="AX565" s="242"/>
      <c r="AY565" s="242"/>
      <c r="AZ565" s="242"/>
      <c r="BA565" s="242"/>
      <c r="BB565" s="237"/>
      <c r="BC565" s="242"/>
      <c r="BD565" s="242"/>
      <c r="BE565" s="242"/>
      <c r="BF565" s="242"/>
      <c r="BG565" s="242"/>
      <c r="BH565" s="242"/>
      <c r="BI565" s="242"/>
      <c r="BJ565" s="242"/>
      <c r="BK565" s="242"/>
      <c r="BL565" s="242"/>
      <c r="BM565" s="242"/>
      <c r="BN565" s="242"/>
      <c r="BO565" s="242"/>
      <c r="BP565" s="242"/>
    </row>
    <row r="566" spans="1:68" ht="14.25" hidden="1" customHeight="1" outlineLevel="1">
      <c r="A566" s="233"/>
      <c r="B566" s="237"/>
      <c r="C566" s="237"/>
      <c r="D566" s="237"/>
      <c r="E566" s="242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34"/>
      <c r="T566" s="242"/>
      <c r="U566" s="242"/>
      <c r="V566" s="242"/>
      <c r="W566" s="242"/>
      <c r="X566" s="242"/>
      <c r="Y566" s="242"/>
      <c r="Z566" s="242"/>
      <c r="AA566" s="242"/>
      <c r="AB566" s="242"/>
      <c r="AC566" s="242"/>
      <c r="AD566" s="242"/>
      <c r="AE566" s="242"/>
      <c r="AF566" s="242"/>
      <c r="AG566" s="242"/>
      <c r="AH566" s="242"/>
      <c r="AI566" s="242"/>
      <c r="AJ566" s="242"/>
      <c r="AK566" s="242"/>
      <c r="AL566" s="242"/>
      <c r="AM566" s="242"/>
      <c r="AN566" s="241"/>
      <c r="AO566" s="242"/>
      <c r="AP566" s="242"/>
      <c r="AQ566" s="242"/>
      <c r="AR566" s="242"/>
      <c r="AS566" s="242"/>
      <c r="AT566" s="242"/>
      <c r="AU566" s="242"/>
      <c r="AV566" s="242"/>
      <c r="AW566" s="242"/>
      <c r="AX566" s="242"/>
      <c r="AY566" s="242"/>
      <c r="AZ566" s="242"/>
      <c r="BA566" s="242"/>
      <c r="BB566" s="237"/>
      <c r="BC566" s="242"/>
      <c r="BD566" s="242"/>
      <c r="BE566" s="242"/>
      <c r="BF566" s="242"/>
      <c r="BG566" s="242"/>
      <c r="BH566" s="242"/>
      <c r="BI566" s="242"/>
      <c r="BJ566" s="242"/>
      <c r="BK566" s="242"/>
      <c r="BL566" s="242"/>
      <c r="BM566" s="242"/>
      <c r="BN566" s="242"/>
      <c r="BO566" s="242"/>
      <c r="BP566" s="242"/>
    </row>
    <row r="567" spans="1:68" ht="14.25" hidden="1" customHeight="1" outlineLevel="1">
      <c r="A567" s="233"/>
      <c r="B567" s="237"/>
      <c r="C567" s="237"/>
      <c r="D567" s="237"/>
      <c r="E567" s="242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34"/>
      <c r="T567" s="242"/>
      <c r="U567" s="242"/>
      <c r="V567" s="242"/>
      <c r="W567" s="242"/>
      <c r="X567" s="242"/>
      <c r="Y567" s="242"/>
      <c r="Z567" s="242"/>
      <c r="AA567" s="242"/>
      <c r="AB567" s="242"/>
      <c r="AC567" s="242"/>
      <c r="AD567" s="242"/>
      <c r="AE567" s="242"/>
      <c r="AF567" s="242"/>
      <c r="AG567" s="242"/>
      <c r="AH567" s="242"/>
      <c r="AI567" s="242"/>
      <c r="AJ567" s="242"/>
      <c r="AK567" s="242"/>
      <c r="AL567" s="242"/>
      <c r="AM567" s="242"/>
      <c r="AN567" s="241"/>
      <c r="AO567" s="242"/>
      <c r="AP567" s="242"/>
      <c r="AQ567" s="242"/>
      <c r="AR567" s="242"/>
      <c r="AS567" s="242"/>
      <c r="AT567" s="242"/>
      <c r="AU567" s="242"/>
      <c r="AV567" s="242"/>
      <c r="AW567" s="242"/>
      <c r="AX567" s="242"/>
      <c r="AY567" s="242"/>
      <c r="AZ567" s="242"/>
      <c r="BA567" s="242"/>
      <c r="BB567" s="237"/>
      <c r="BC567" s="242"/>
      <c r="BD567" s="242"/>
      <c r="BE567" s="242"/>
      <c r="BF567" s="242"/>
      <c r="BG567" s="242"/>
      <c r="BH567" s="242"/>
      <c r="BI567" s="242"/>
      <c r="BJ567" s="242"/>
      <c r="BK567" s="242"/>
      <c r="BL567" s="242"/>
      <c r="BM567" s="242"/>
      <c r="BN567" s="242"/>
      <c r="BO567" s="242"/>
      <c r="BP567" s="242"/>
    </row>
    <row r="568" spans="1:68" ht="14.25" hidden="1" customHeight="1" outlineLevel="1">
      <c r="A568" s="233"/>
      <c r="B568" s="237"/>
      <c r="C568" s="237"/>
      <c r="D568" s="237"/>
      <c r="E568" s="242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34"/>
      <c r="T568" s="242"/>
      <c r="U568" s="242"/>
      <c r="V568" s="242"/>
      <c r="W568" s="242"/>
      <c r="X568" s="242"/>
      <c r="Y568" s="242"/>
      <c r="Z568" s="242"/>
      <c r="AA568" s="242"/>
      <c r="AB568" s="242"/>
      <c r="AC568" s="242"/>
      <c r="AD568" s="242"/>
      <c r="AE568" s="242"/>
      <c r="AF568" s="242"/>
      <c r="AG568" s="242"/>
      <c r="AH568" s="242"/>
      <c r="AI568" s="242"/>
      <c r="AJ568" s="242"/>
      <c r="AK568" s="242"/>
      <c r="AL568" s="242"/>
      <c r="AM568" s="242"/>
      <c r="AN568" s="241"/>
      <c r="AO568" s="242"/>
      <c r="AP568" s="242"/>
      <c r="AQ568" s="242"/>
      <c r="AR568" s="242"/>
      <c r="AS568" s="242"/>
      <c r="AT568" s="242"/>
      <c r="AU568" s="242"/>
      <c r="AV568" s="242"/>
      <c r="AW568" s="242"/>
      <c r="AX568" s="242"/>
      <c r="AY568" s="242"/>
      <c r="AZ568" s="242"/>
      <c r="BA568" s="242"/>
      <c r="BB568" s="237"/>
      <c r="BC568" s="242"/>
      <c r="BD568" s="242"/>
      <c r="BE568" s="242"/>
      <c r="BF568" s="242"/>
      <c r="BG568" s="242"/>
      <c r="BH568" s="242"/>
      <c r="BI568" s="242"/>
      <c r="BJ568" s="242"/>
      <c r="BK568" s="242"/>
      <c r="BL568" s="242"/>
      <c r="BM568" s="242"/>
      <c r="BN568" s="242"/>
      <c r="BO568" s="242"/>
      <c r="BP568" s="242"/>
    </row>
    <row r="569" spans="1:68" ht="14.25" hidden="1" customHeight="1" outlineLevel="1">
      <c r="A569" s="233"/>
      <c r="B569" s="237"/>
      <c r="C569" s="237"/>
      <c r="D569" s="237"/>
      <c r="E569" s="242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34"/>
      <c r="T569" s="242"/>
      <c r="U569" s="242"/>
      <c r="V569" s="242"/>
      <c r="W569" s="242"/>
      <c r="X569" s="242"/>
      <c r="Y569" s="242"/>
      <c r="Z569" s="242"/>
      <c r="AA569" s="242"/>
      <c r="AB569" s="242"/>
      <c r="AC569" s="242"/>
      <c r="AD569" s="242"/>
      <c r="AE569" s="242"/>
      <c r="AF569" s="242"/>
      <c r="AG569" s="242"/>
      <c r="AH569" s="242"/>
      <c r="AI569" s="242"/>
      <c r="AJ569" s="242"/>
      <c r="AK569" s="242"/>
      <c r="AL569" s="242"/>
      <c r="AM569" s="242"/>
      <c r="AN569" s="241"/>
      <c r="AO569" s="242"/>
      <c r="AP569" s="242"/>
      <c r="AQ569" s="242"/>
      <c r="AR569" s="242"/>
      <c r="AS569" s="242"/>
      <c r="AT569" s="242"/>
      <c r="AU569" s="242"/>
      <c r="AV569" s="242"/>
      <c r="AW569" s="242"/>
      <c r="AX569" s="242"/>
      <c r="AY569" s="242"/>
      <c r="AZ569" s="242"/>
      <c r="BA569" s="242"/>
      <c r="BB569" s="237"/>
      <c r="BC569" s="242"/>
      <c r="BD569" s="242"/>
      <c r="BE569" s="242"/>
      <c r="BF569" s="242"/>
      <c r="BG569" s="242"/>
      <c r="BH569" s="242"/>
      <c r="BI569" s="242"/>
      <c r="BJ569" s="242"/>
      <c r="BK569" s="242"/>
      <c r="BL569" s="242"/>
      <c r="BM569" s="242"/>
      <c r="BN569" s="242"/>
      <c r="BO569" s="242"/>
      <c r="BP569" s="242"/>
    </row>
    <row r="570" spans="1:68" ht="14.25" hidden="1" customHeight="1" outlineLevel="1">
      <c r="A570" s="233"/>
      <c r="B570" s="237"/>
      <c r="C570" s="237"/>
      <c r="D570" s="237"/>
      <c r="E570" s="242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34"/>
      <c r="T570" s="242"/>
      <c r="U570" s="242"/>
      <c r="V570" s="242"/>
      <c r="W570" s="242"/>
      <c r="X570" s="242"/>
      <c r="Y570" s="242"/>
      <c r="Z570" s="242"/>
      <c r="AA570" s="242"/>
      <c r="AB570" s="242"/>
      <c r="AC570" s="242"/>
      <c r="AD570" s="242"/>
      <c r="AE570" s="242"/>
      <c r="AF570" s="242"/>
      <c r="AG570" s="242"/>
      <c r="AH570" s="242"/>
      <c r="AI570" s="242"/>
      <c r="AJ570" s="242"/>
      <c r="AK570" s="242"/>
      <c r="AL570" s="242"/>
      <c r="AM570" s="242"/>
      <c r="AN570" s="241"/>
      <c r="AO570" s="242"/>
      <c r="AP570" s="242"/>
      <c r="AQ570" s="242"/>
      <c r="AR570" s="242"/>
      <c r="AS570" s="242"/>
      <c r="AT570" s="242"/>
      <c r="AU570" s="242"/>
      <c r="AV570" s="242"/>
      <c r="AW570" s="242"/>
      <c r="AX570" s="242"/>
      <c r="AY570" s="242"/>
      <c r="AZ570" s="242"/>
      <c r="BA570" s="242"/>
      <c r="BB570" s="237"/>
      <c r="BC570" s="242"/>
      <c r="BD570" s="242"/>
      <c r="BE570" s="242"/>
      <c r="BF570" s="242"/>
      <c r="BG570" s="242"/>
      <c r="BH570" s="242"/>
      <c r="BI570" s="242"/>
      <c r="BJ570" s="242"/>
      <c r="BK570" s="242"/>
      <c r="BL570" s="242"/>
      <c r="BM570" s="242"/>
      <c r="BN570" s="242"/>
      <c r="BO570" s="242"/>
      <c r="BP570" s="242"/>
    </row>
    <row r="571" spans="1:68" ht="14.25" hidden="1" customHeight="1" outlineLevel="1">
      <c r="A571" s="233"/>
      <c r="B571" s="237"/>
      <c r="C571" s="237"/>
      <c r="D571" s="237"/>
      <c r="E571" s="242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34"/>
      <c r="T571" s="242"/>
      <c r="U571" s="242"/>
      <c r="V571" s="242"/>
      <c r="W571" s="242"/>
      <c r="X571" s="242"/>
      <c r="Y571" s="242"/>
      <c r="Z571" s="242"/>
      <c r="AA571" s="242"/>
      <c r="AB571" s="242"/>
      <c r="AC571" s="242"/>
      <c r="AD571" s="242"/>
      <c r="AE571" s="242"/>
      <c r="AF571" s="242"/>
      <c r="AG571" s="242"/>
      <c r="AH571" s="242"/>
      <c r="AI571" s="242"/>
      <c r="AJ571" s="242"/>
      <c r="AK571" s="242"/>
      <c r="AL571" s="242"/>
      <c r="AM571" s="242"/>
      <c r="AN571" s="241"/>
      <c r="AO571" s="242"/>
      <c r="AP571" s="242"/>
      <c r="AQ571" s="242"/>
      <c r="AR571" s="242"/>
      <c r="AS571" s="242"/>
      <c r="AT571" s="242"/>
      <c r="AU571" s="242"/>
      <c r="AV571" s="242"/>
      <c r="AW571" s="242"/>
      <c r="AX571" s="242"/>
      <c r="AY571" s="242"/>
      <c r="AZ571" s="242"/>
      <c r="BA571" s="242"/>
      <c r="BB571" s="237"/>
      <c r="BC571" s="242"/>
      <c r="BD571" s="242"/>
      <c r="BE571" s="242"/>
      <c r="BF571" s="242"/>
      <c r="BG571" s="242"/>
      <c r="BH571" s="242"/>
      <c r="BI571" s="242"/>
      <c r="BJ571" s="242"/>
      <c r="BK571" s="242"/>
      <c r="BL571" s="242"/>
      <c r="BM571" s="242"/>
      <c r="BN571" s="242"/>
      <c r="BO571" s="242"/>
      <c r="BP571" s="242"/>
    </row>
    <row r="572" spans="1:68" ht="14.25" hidden="1" customHeight="1" outlineLevel="1">
      <c r="A572" s="233"/>
      <c r="B572" s="237"/>
      <c r="C572" s="237"/>
      <c r="D572" s="237"/>
      <c r="E572" s="242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34"/>
      <c r="T572" s="242"/>
      <c r="U572" s="242"/>
      <c r="V572" s="242"/>
      <c r="W572" s="242"/>
      <c r="X572" s="242"/>
      <c r="Y572" s="242"/>
      <c r="Z572" s="242"/>
      <c r="AA572" s="242"/>
      <c r="AB572" s="242"/>
      <c r="AC572" s="242"/>
      <c r="AD572" s="242"/>
      <c r="AE572" s="242"/>
      <c r="AF572" s="242"/>
      <c r="AG572" s="242"/>
      <c r="AH572" s="242"/>
      <c r="AI572" s="242"/>
      <c r="AJ572" s="242"/>
      <c r="AK572" s="242"/>
      <c r="AL572" s="242"/>
      <c r="AM572" s="242"/>
      <c r="AN572" s="241"/>
      <c r="AO572" s="242"/>
      <c r="AP572" s="242"/>
      <c r="AQ572" s="242"/>
      <c r="AR572" s="242"/>
      <c r="AS572" s="242"/>
      <c r="AT572" s="242"/>
      <c r="AU572" s="242"/>
      <c r="AV572" s="242"/>
      <c r="AW572" s="242"/>
      <c r="AX572" s="242"/>
      <c r="AY572" s="242"/>
      <c r="AZ572" s="242"/>
      <c r="BA572" s="242"/>
      <c r="BB572" s="237"/>
      <c r="BC572" s="242"/>
      <c r="BD572" s="242"/>
      <c r="BE572" s="242"/>
      <c r="BF572" s="242"/>
      <c r="BG572" s="242"/>
      <c r="BH572" s="242"/>
      <c r="BI572" s="242"/>
      <c r="BJ572" s="242"/>
      <c r="BK572" s="242"/>
      <c r="BL572" s="242"/>
      <c r="BM572" s="242"/>
      <c r="BN572" s="242"/>
      <c r="BO572" s="242"/>
      <c r="BP572" s="242"/>
    </row>
    <row r="573" spans="1:68" ht="14.25" hidden="1" customHeight="1" outlineLevel="1">
      <c r="A573" s="233"/>
      <c r="B573" s="237"/>
      <c r="C573" s="237"/>
      <c r="D573" s="237"/>
      <c r="E573" s="242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34"/>
      <c r="T573" s="242"/>
      <c r="U573" s="242"/>
      <c r="V573" s="242"/>
      <c r="W573" s="242"/>
      <c r="X573" s="242"/>
      <c r="Y573" s="242"/>
      <c r="Z573" s="242"/>
      <c r="AA573" s="242"/>
      <c r="AB573" s="242"/>
      <c r="AC573" s="242"/>
      <c r="AD573" s="242"/>
      <c r="AE573" s="242"/>
      <c r="AF573" s="242"/>
      <c r="AG573" s="242"/>
      <c r="AH573" s="242"/>
      <c r="AI573" s="242"/>
      <c r="AJ573" s="242"/>
      <c r="AK573" s="242"/>
      <c r="AL573" s="242"/>
      <c r="AM573" s="242"/>
      <c r="AN573" s="241"/>
      <c r="AO573" s="242"/>
      <c r="AP573" s="242"/>
      <c r="AQ573" s="242"/>
      <c r="AR573" s="242"/>
      <c r="AS573" s="242"/>
      <c r="AT573" s="242"/>
      <c r="AU573" s="242"/>
      <c r="AV573" s="242"/>
      <c r="AW573" s="242"/>
      <c r="AX573" s="242"/>
      <c r="AY573" s="242"/>
      <c r="AZ573" s="242"/>
      <c r="BA573" s="242"/>
      <c r="BB573" s="237"/>
      <c r="BC573" s="242"/>
      <c r="BD573" s="242"/>
      <c r="BE573" s="242"/>
      <c r="BF573" s="242"/>
      <c r="BG573" s="242"/>
      <c r="BH573" s="242"/>
      <c r="BI573" s="242"/>
      <c r="BJ573" s="242"/>
      <c r="BK573" s="242"/>
      <c r="BL573" s="242"/>
      <c r="BM573" s="242"/>
      <c r="BN573" s="242"/>
      <c r="BO573" s="242"/>
      <c r="BP573" s="242"/>
    </row>
    <row r="574" spans="1:68" ht="14.25" hidden="1" customHeight="1" outlineLevel="1">
      <c r="A574" s="233"/>
      <c r="B574" s="237"/>
      <c r="C574" s="237"/>
      <c r="D574" s="237"/>
      <c r="E574" s="242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34"/>
      <c r="T574" s="242"/>
      <c r="U574" s="242"/>
      <c r="V574" s="242"/>
      <c r="W574" s="242"/>
      <c r="X574" s="242"/>
      <c r="Y574" s="242"/>
      <c r="Z574" s="242"/>
      <c r="AA574" s="242"/>
      <c r="AB574" s="242"/>
      <c r="AC574" s="242"/>
      <c r="AD574" s="242"/>
      <c r="AE574" s="242"/>
      <c r="AF574" s="242"/>
      <c r="AG574" s="242"/>
      <c r="AH574" s="242"/>
      <c r="AI574" s="242"/>
      <c r="AJ574" s="242"/>
      <c r="AK574" s="242"/>
      <c r="AL574" s="242"/>
      <c r="AM574" s="242"/>
      <c r="AN574" s="241"/>
      <c r="AO574" s="242"/>
      <c r="AP574" s="242"/>
      <c r="AQ574" s="242"/>
      <c r="AR574" s="242"/>
      <c r="AS574" s="242"/>
      <c r="AT574" s="242"/>
      <c r="AU574" s="242"/>
      <c r="AV574" s="242"/>
      <c r="AW574" s="242"/>
      <c r="AX574" s="242"/>
      <c r="AY574" s="242"/>
      <c r="AZ574" s="242"/>
      <c r="BA574" s="242"/>
      <c r="BB574" s="237"/>
      <c r="BC574" s="242"/>
      <c r="BD574" s="242"/>
      <c r="BE574" s="242"/>
      <c r="BF574" s="242"/>
      <c r="BG574" s="242"/>
      <c r="BH574" s="242"/>
      <c r="BI574" s="242"/>
      <c r="BJ574" s="242"/>
      <c r="BK574" s="242"/>
      <c r="BL574" s="242"/>
      <c r="BM574" s="242"/>
      <c r="BN574" s="242"/>
      <c r="BO574" s="242"/>
      <c r="BP574" s="242"/>
    </row>
    <row r="575" spans="1:68" ht="14.25" hidden="1" customHeight="1" outlineLevel="1">
      <c r="A575" s="233"/>
      <c r="B575" s="237"/>
      <c r="C575" s="237"/>
      <c r="D575" s="237"/>
      <c r="E575" s="242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34"/>
      <c r="T575" s="242"/>
      <c r="U575" s="242"/>
      <c r="V575" s="242"/>
      <c r="W575" s="242"/>
      <c r="X575" s="242"/>
      <c r="Y575" s="242"/>
      <c r="Z575" s="242"/>
      <c r="AA575" s="242"/>
      <c r="AB575" s="242"/>
      <c r="AC575" s="242"/>
      <c r="AD575" s="242"/>
      <c r="AE575" s="242"/>
      <c r="AF575" s="242"/>
      <c r="AG575" s="242"/>
      <c r="AH575" s="242"/>
      <c r="AI575" s="242"/>
      <c r="AJ575" s="242"/>
      <c r="AK575" s="242"/>
      <c r="AL575" s="242"/>
      <c r="AM575" s="242"/>
      <c r="AN575" s="241"/>
      <c r="AO575" s="242"/>
      <c r="AP575" s="242"/>
      <c r="AQ575" s="242"/>
      <c r="AR575" s="242"/>
      <c r="AS575" s="242"/>
      <c r="AT575" s="242"/>
      <c r="AU575" s="242"/>
      <c r="AV575" s="242"/>
      <c r="AW575" s="242"/>
      <c r="AX575" s="242"/>
      <c r="AY575" s="242"/>
      <c r="AZ575" s="242"/>
      <c r="BA575" s="242"/>
      <c r="BB575" s="237"/>
      <c r="BC575" s="242"/>
      <c r="BD575" s="242"/>
      <c r="BE575" s="242"/>
      <c r="BF575" s="242"/>
      <c r="BG575" s="242"/>
      <c r="BH575" s="242"/>
      <c r="BI575" s="242"/>
      <c r="BJ575" s="242"/>
      <c r="BK575" s="242"/>
      <c r="BL575" s="242"/>
      <c r="BM575" s="242"/>
      <c r="BN575" s="242"/>
      <c r="BO575" s="242"/>
      <c r="BP575" s="242"/>
    </row>
    <row r="576" spans="1:68" ht="14.25" hidden="1" customHeight="1" outlineLevel="1">
      <c r="A576" s="233"/>
      <c r="B576" s="237"/>
      <c r="C576" s="237"/>
      <c r="D576" s="237"/>
      <c r="E576" s="242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34"/>
      <c r="T576" s="242"/>
      <c r="U576" s="242"/>
      <c r="V576" s="242"/>
      <c r="W576" s="242"/>
      <c r="X576" s="242"/>
      <c r="Y576" s="242"/>
      <c r="Z576" s="242"/>
      <c r="AA576" s="242"/>
      <c r="AB576" s="242"/>
      <c r="AC576" s="242"/>
      <c r="AD576" s="242"/>
      <c r="AE576" s="242"/>
      <c r="AF576" s="242"/>
      <c r="AG576" s="242"/>
      <c r="AH576" s="242"/>
      <c r="AI576" s="242"/>
      <c r="AJ576" s="242"/>
      <c r="AK576" s="242"/>
      <c r="AL576" s="242"/>
      <c r="AM576" s="242"/>
      <c r="AN576" s="241"/>
      <c r="AO576" s="242"/>
      <c r="AP576" s="242"/>
      <c r="AQ576" s="242"/>
      <c r="AR576" s="242"/>
      <c r="AS576" s="242"/>
      <c r="AT576" s="242"/>
      <c r="AU576" s="242"/>
      <c r="AV576" s="242"/>
      <c r="AW576" s="242"/>
      <c r="AX576" s="242"/>
      <c r="AY576" s="242"/>
      <c r="AZ576" s="242"/>
      <c r="BA576" s="242"/>
      <c r="BB576" s="237"/>
      <c r="BC576" s="242"/>
      <c r="BD576" s="242"/>
      <c r="BE576" s="242"/>
      <c r="BF576" s="242"/>
      <c r="BG576" s="242"/>
      <c r="BH576" s="242"/>
      <c r="BI576" s="242"/>
      <c r="BJ576" s="242"/>
      <c r="BK576" s="242"/>
      <c r="BL576" s="242"/>
      <c r="BM576" s="242"/>
      <c r="BN576" s="242"/>
      <c r="BO576" s="242"/>
      <c r="BP576" s="242"/>
    </row>
    <row r="577" spans="1:68" ht="14.25" hidden="1" customHeight="1" outlineLevel="1">
      <c r="A577" s="233"/>
      <c r="B577" s="237"/>
      <c r="C577" s="237"/>
      <c r="D577" s="237"/>
      <c r="E577" s="242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34"/>
      <c r="T577" s="242"/>
      <c r="U577" s="242"/>
      <c r="V577" s="242"/>
      <c r="W577" s="242"/>
      <c r="X577" s="242"/>
      <c r="Y577" s="242"/>
      <c r="Z577" s="242"/>
      <c r="AA577" s="242"/>
      <c r="AB577" s="242"/>
      <c r="AC577" s="242"/>
      <c r="AD577" s="242"/>
      <c r="AE577" s="242"/>
      <c r="AF577" s="242"/>
      <c r="AG577" s="242"/>
      <c r="AH577" s="242"/>
      <c r="AI577" s="242"/>
      <c r="AJ577" s="242"/>
      <c r="AK577" s="242"/>
      <c r="AL577" s="242"/>
      <c r="AM577" s="242"/>
      <c r="AN577" s="241"/>
      <c r="AO577" s="242"/>
      <c r="AP577" s="242"/>
      <c r="AQ577" s="242"/>
      <c r="AR577" s="242"/>
      <c r="AS577" s="242"/>
      <c r="AT577" s="242"/>
      <c r="AU577" s="242"/>
      <c r="AV577" s="242"/>
      <c r="AW577" s="242"/>
      <c r="AX577" s="242"/>
      <c r="AY577" s="242"/>
      <c r="AZ577" s="242"/>
      <c r="BA577" s="242"/>
      <c r="BB577" s="237"/>
      <c r="BC577" s="242"/>
      <c r="BD577" s="242"/>
      <c r="BE577" s="242"/>
      <c r="BF577" s="242"/>
      <c r="BG577" s="242"/>
      <c r="BH577" s="242"/>
      <c r="BI577" s="242"/>
      <c r="BJ577" s="242"/>
      <c r="BK577" s="242"/>
      <c r="BL577" s="242"/>
      <c r="BM577" s="242"/>
      <c r="BN577" s="242"/>
      <c r="BO577" s="242"/>
      <c r="BP577" s="242"/>
    </row>
    <row r="578" spans="1:68" ht="14.25" hidden="1" customHeight="1" outlineLevel="1">
      <c r="A578" s="233"/>
      <c r="B578" s="237"/>
      <c r="C578" s="237"/>
      <c r="D578" s="237"/>
      <c r="E578" s="242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34"/>
      <c r="T578" s="242"/>
      <c r="U578" s="242"/>
      <c r="V578" s="242"/>
      <c r="W578" s="242"/>
      <c r="X578" s="242"/>
      <c r="Y578" s="242"/>
      <c r="Z578" s="242"/>
      <c r="AA578" s="242"/>
      <c r="AB578" s="242"/>
      <c r="AC578" s="242"/>
      <c r="AD578" s="242"/>
      <c r="AE578" s="242"/>
      <c r="AF578" s="242"/>
      <c r="AG578" s="242"/>
      <c r="AH578" s="242"/>
      <c r="AI578" s="242"/>
      <c r="AJ578" s="242"/>
      <c r="AK578" s="242"/>
      <c r="AL578" s="242"/>
      <c r="AM578" s="242"/>
      <c r="AN578" s="241"/>
      <c r="AO578" s="242"/>
      <c r="AP578" s="242"/>
      <c r="AQ578" s="242"/>
      <c r="AR578" s="242"/>
      <c r="AS578" s="242"/>
      <c r="AT578" s="242"/>
      <c r="AU578" s="242"/>
      <c r="AV578" s="242"/>
      <c r="AW578" s="242"/>
      <c r="AX578" s="242"/>
      <c r="AY578" s="242"/>
      <c r="AZ578" s="242"/>
      <c r="BA578" s="242"/>
      <c r="BB578" s="237"/>
      <c r="BC578" s="242"/>
      <c r="BD578" s="242"/>
      <c r="BE578" s="242"/>
      <c r="BF578" s="242"/>
      <c r="BG578" s="242"/>
      <c r="BH578" s="242"/>
      <c r="BI578" s="242"/>
      <c r="BJ578" s="242"/>
      <c r="BK578" s="242"/>
      <c r="BL578" s="242"/>
      <c r="BM578" s="242"/>
      <c r="BN578" s="242"/>
      <c r="BO578" s="242"/>
      <c r="BP578" s="242"/>
    </row>
    <row r="579" spans="1:68" ht="14.25" hidden="1" customHeight="1" outlineLevel="1">
      <c r="A579" s="233"/>
      <c r="B579" s="237"/>
      <c r="C579" s="237"/>
      <c r="D579" s="237"/>
      <c r="E579" s="242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34"/>
      <c r="T579" s="242"/>
      <c r="U579" s="242"/>
      <c r="V579" s="242"/>
      <c r="W579" s="242"/>
      <c r="X579" s="242"/>
      <c r="Y579" s="242"/>
      <c r="Z579" s="242"/>
      <c r="AA579" s="242"/>
      <c r="AB579" s="242"/>
      <c r="AC579" s="242"/>
      <c r="AD579" s="242"/>
      <c r="AE579" s="242"/>
      <c r="AF579" s="242"/>
      <c r="AG579" s="242"/>
      <c r="AH579" s="242"/>
      <c r="AI579" s="242"/>
      <c r="AJ579" s="242"/>
      <c r="AK579" s="242"/>
      <c r="AL579" s="242"/>
      <c r="AM579" s="242"/>
      <c r="AN579" s="241"/>
      <c r="AO579" s="242"/>
      <c r="AP579" s="242"/>
      <c r="AQ579" s="242"/>
      <c r="AR579" s="242"/>
      <c r="AS579" s="242"/>
      <c r="AT579" s="242"/>
      <c r="AU579" s="242"/>
      <c r="AV579" s="242"/>
      <c r="AW579" s="242"/>
      <c r="AX579" s="242"/>
      <c r="AY579" s="242"/>
      <c r="AZ579" s="242"/>
      <c r="BA579" s="242"/>
      <c r="BB579" s="237"/>
      <c r="BC579" s="242"/>
      <c r="BD579" s="242"/>
      <c r="BE579" s="242"/>
      <c r="BF579" s="242"/>
      <c r="BG579" s="242"/>
      <c r="BH579" s="242"/>
      <c r="BI579" s="242"/>
      <c r="BJ579" s="242"/>
      <c r="BK579" s="242"/>
      <c r="BL579" s="242"/>
      <c r="BM579" s="242"/>
      <c r="BN579" s="242"/>
      <c r="BO579" s="242"/>
      <c r="BP579" s="242"/>
    </row>
    <row r="580" spans="1:68" ht="14.25" hidden="1" customHeight="1" outlineLevel="1">
      <c r="A580" s="233"/>
      <c r="B580" s="237"/>
      <c r="C580" s="237"/>
      <c r="D580" s="237"/>
      <c r="E580" s="242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34"/>
      <c r="T580" s="242"/>
      <c r="U580" s="242"/>
      <c r="V580" s="242"/>
      <c r="W580" s="242"/>
      <c r="X580" s="242"/>
      <c r="Y580" s="242"/>
      <c r="Z580" s="242"/>
      <c r="AA580" s="242"/>
      <c r="AB580" s="242"/>
      <c r="AC580" s="242"/>
      <c r="AD580" s="242"/>
      <c r="AE580" s="242"/>
      <c r="AF580" s="242"/>
      <c r="AG580" s="242"/>
      <c r="AH580" s="242"/>
      <c r="AI580" s="242"/>
      <c r="AJ580" s="242"/>
      <c r="AK580" s="242"/>
      <c r="AL580" s="242"/>
      <c r="AM580" s="242"/>
      <c r="AN580" s="241"/>
      <c r="AO580" s="242"/>
      <c r="AP580" s="242"/>
      <c r="AQ580" s="242"/>
      <c r="AR580" s="242"/>
      <c r="AS580" s="242"/>
      <c r="AT580" s="242"/>
      <c r="AU580" s="242"/>
      <c r="AV580" s="242"/>
      <c r="AW580" s="242"/>
      <c r="AX580" s="242"/>
      <c r="AY580" s="242"/>
      <c r="AZ580" s="242"/>
      <c r="BA580" s="242"/>
      <c r="BB580" s="237"/>
      <c r="BC580" s="242"/>
      <c r="BD580" s="242"/>
      <c r="BE580" s="242"/>
      <c r="BF580" s="242"/>
      <c r="BG580" s="242"/>
      <c r="BH580" s="242"/>
      <c r="BI580" s="242"/>
      <c r="BJ580" s="242"/>
      <c r="BK580" s="242"/>
      <c r="BL580" s="242"/>
      <c r="BM580" s="242"/>
      <c r="BN580" s="242"/>
      <c r="BO580" s="242"/>
      <c r="BP580" s="242"/>
    </row>
    <row r="581" spans="1:68" ht="14.25" hidden="1" customHeight="1" outlineLevel="1">
      <c r="A581" s="233"/>
      <c r="B581" s="237"/>
      <c r="C581" s="237"/>
      <c r="D581" s="237"/>
      <c r="E581" s="242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34"/>
      <c r="T581" s="242"/>
      <c r="U581" s="242"/>
      <c r="V581" s="242"/>
      <c r="W581" s="242"/>
      <c r="X581" s="242"/>
      <c r="Y581" s="242"/>
      <c r="Z581" s="242"/>
      <c r="AA581" s="242"/>
      <c r="AB581" s="242"/>
      <c r="AC581" s="242"/>
      <c r="AD581" s="242"/>
      <c r="AE581" s="242"/>
      <c r="AF581" s="242"/>
      <c r="AG581" s="242"/>
      <c r="AH581" s="242"/>
      <c r="AI581" s="242"/>
      <c r="AJ581" s="242"/>
      <c r="AK581" s="242"/>
      <c r="AL581" s="242"/>
      <c r="AM581" s="242"/>
      <c r="AN581" s="241"/>
      <c r="AO581" s="242"/>
      <c r="AP581" s="242"/>
      <c r="AQ581" s="242"/>
      <c r="AR581" s="242"/>
      <c r="AS581" s="242"/>
      <c r="AT581" s="242"/>
      <c r="AU581" s="242"/>
      <c r="AV581" s="242"/>
      <c r="AW581" s="242"/>
      <c r="AX581" s="242"/>
      <c r="AY581" s="242"/>
      <c r="AZ581" s="242"/>
      <c r="BA581" s="242"/>
      <c r="BB581" s="237"/>
      <c r="BC581" s="242"/>
      <c r="BD581" s="242"/>
      <c r="BE581" s="242"/>
      <c r="BF581" s="242"/>
      <c r="BG581" s="242"/>
      <c r="BH581" s="242"/>
      <c r="BI581" s="242"/>
      <c r="BJ581" s="242"/>
      <c r="BK581" s="242"/>
      <c r="BL581" s="242"/>
      <c r="BM581" s="242"/>
      <c r="BN581" s="242"/>
      <c r="BO581" s="242"/>
      <c r="BP581" s="242"/>
    </row>
    <row r="582" spans="1:68" ht="14.25" hidden="1" customHeight="1" outlineLevel="1">
      <c r="A582" s="233"/>
      <c r="B582" s="237"/>
      <c r="C582" s="237"/>
      <c r="D582" s="237"/>
      <c r="E582" s="242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34"/>
      <c r="T582" s="242"/>
      <c r="U582" s="242"/>
      <c r="V582" s="242"/>
      <c r="W582" s="242"/>
      <c r="X582" s="242"/>
      <c r="Y582" s="242"/>
      <c r="Z582" s="242"/>
      <c r="AA582" s="242"/>
      <c r="AB582" s="242"/>
      <c r="AC582" s="242"/>
      <c r="AD582" s="242"/>
      <c r="AE582" s="242"/>
      <c r="AF582" s="242"/>
      <c r="AG582" s="242"/>
      <c r="AH582" s="242"/>
      <c r="AI582" s="242"/>
      <c r="AJ582" s="242"/>
      <c r="AK582" s="242"/>
      <c r="AL582" s="242"/>
      <c r="AM582" s="242"/>
      <c r="AN582" s="241"/>
      <c r="AO582" s="242"/>
      <c r="AP582" s="242"/>
      <c r="AQ582" s="242"/>
      <c r="AR582" s="242"/>
      <c r="AS582" s="242"/>
      <c r="AT582" s="242"/>
      <c r="AU582" s="242"/>
      <c r="AV582" s="242"/>
      <c r="AW582" s="242"/>
      <c r="AX582" s="242"/>
      <c r="AY582" s="242"/>
      <c r="AZ582" s="242"/>
      <c r="BA582" s="242"/>
      <c r="BB582" s="237"/>
      <c r="BC582" s="242"/>
      <c r="BD582" s="242"/>
      <c r="BE582" s="242"/>
      <c r="BF582" s="242"/>
      <c r="BG582" s="242"/>
      <c r="BH582" s="242"/>
      <c r="BI582" s="242"/>
      <c r="BJ582" s="242"/>
      <c r="BK582" s="242"/>
      <c r="BL582" s="242"/>
      <c r="BM582" s="242"/>
      <c r="BN582" s="242"/>
      <c r="BO582" s="242"/>
      <c r="BP582" s="242"/>
    </row>
    <row r="583" spans="1:68" ht="14.25" hidden="1" customHeight="1" outlineLevel="1">
      <c r="A583" s="233"/>
      <c r="B583" s="237"/>
      <c r="C583" s="237"/>
      <c r="D583" s="237"/>
      <c r="E583" s="242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34"/>
      <c r="T583" s="242"/>
      <c r="U583" s="242"/>
      <c r="V583" s="242"/>
      <c r="W583" s="242"/>
      <c r="X583" s="242"/>
      <c r="Y583" s="242"/>
      <c r="Z583" s="242"/>
      <c r="AA583" s="242"/>
      <c r="AB583" s="242"/>
      <c r="AC583" s="242"/>
      <c r="AD583" s="242"/>
      <c r="AE583" s="242"/>
      <c r="AF583" s="242"/>
      <c r="AG583" s="242"/>
      <c r="AH583" s="242"/>
      <c r="AI583" s="242"/>
      <c r="AJ583" s="242"/>
      <c r="AK583" s="242"/>
      <c r="AL583" s="242"/>
      <c r="AM583" s="242"/>
      <c r="AN583" s="241"/>
      <c r="AO583" s="242"/>
      <c r="AP583" s="242"/>
      <c r="AQ583" s="242"/>
      <c r="AR583" s="242"/>
      <c r="AS583" s="242"/>
      <c r="AT583" s="242"/>
      <c r="AU583" s="242"/>
      <c r="AV583" s="242"/>
      <c r="AW583" s="242"/>
      <c r="AX583" s="242"/>
      <c r="AY583" s="242"/>
      <c r="AZ583" s="242"/>
      <c r="BA583" s="242"/>
      <c r="BB583" s="237"/>
      <c r="BC583" s="242"/>
      <c r="BD583" s="242"/>
      <c r="BE583" s="242"/>
      <c r="BF583" s="242"/>
      <c r="BG583" s="242"/>
      <c r="BH583" s="242"/>
      <c r="BI583" s="242"/>
      <c r="BJ583" s="242"/>
      <c r="BK583" s="242"/>
      <c r="BL583" s="242"/>
      <c r="BM583" s="242"/>
      <c r="BN583" s="242"/>
      <c r="BO583" s="242"/>
      <c r="BP583" s="242"/>
    </row>
    <row r="584" spans="1:68" ht="14.25" hidden="1" customHeight="1" outlineLevel="1">
      <c r="A584" s="233"/>
      <c r="B584" s="237"/>
      <c r="C584" s="237"/>
      <c r="D584" s="237"/>
      <c r="E584" s="242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34"/>
      <c r="T584" s="242"/>
      <c r="U584" s="242"/>
      <c r="V584" s="242"/>
      <c r="W584" s="242"/>
      <c r="X584" s="242"/>
      <c r="Y584" s="242"/>
      <c r="Z584" s="242"/>
      <c r="AA584" s="242"/>
      <c r="AB584" s="242"/>
      <c r="AC584" s="242"/>
      <c r="AD584" s="242"/>
      <c r="AE584" s="242"/>
      <c r="AF584" s="242"/>
      <c r="AG584" s="242"/>
      <c r="AH584" s="242"/>
      <c r="AI584" s="242"/>
      <c r="AJ584" s="242"/>
      <c r="AK584" s="242"/>
      <c r="AL584" s="242"/>
      <c r="AM584" s="242"/>
      <c r="AN584" s="241"/>
      <c r="AO584" s="242"/>
      <c r="AP584" s="242"/>
      <c r="AQ584" s="242"/>
      <c r="AR584" s="242"/>
      <c r="AS584" s="242"/>
      <c r="AT584" s="242"/>
      <c r="AU584" s="242"/>
      <c r="AV584" s="242"/>
      <c r="AW584" s="242"/>
      <c r="AX584" s="242"/>
      <c r="AY584" s="242"/>
      <c r="AZ584" s="242"/>
      <c r="BA584" s="242"/>
      <c r="BB584" s="237"/>
      <c r="BC584" s="242"/>
      <c r="BD584" s="242"/>
      <c r="BE584" s="242"/>
      <c r="BF584" s="242"/>
      <c r="BG584" s="242"/>
      <c r="BH584" s="242"/>
      <c r="BI584" s="242"/>
      <c r="BJ584" s="242"/>
      <c r="BK584" s="242"/>
      <c r="BL584" s="242"/>
      <c r="BM584" s="242"/>
      <c r="BN584" s="242"/>
      <c r="BO584" s="242"/>
      <c r="BP584" s="242"/>
    </row>
    <row r="585" spans="1:68" ht="14.25" hidden="1" customHeight="1" outlineLevel="1">
      <c r="A585" s="233"/>
      <c r="B585" s="237"/>
      <c r="C585" s="237"/>
      <c r="D585" s="237"/>
      <c r="E585" s="242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34"/>
      <c r="T585" s="242"/>
      <c r="U585" s="242"/>
      <c r="V585" s="242"/>
      <c r="W585" s="242"/>
      <c r="X585" s="242"/>
      <c r="Y585" s="242"/>
      <c r="Z585" s="242"/>
      <c r="AA585" s="242"/>
      <c r="AB585" s="242"/>
      <c r="AC585" s="242"/>
      <c r="AD585" s="242"/>
      <c r="AE585" s="242"/>
      <c r="AF585" s="242"/>
      <c r="AG585" s="242"/>
      <c r="AH585" s="242"/>
      <c r="AI585" s="242"/>
      <c r="AJ585" s="242"/>
      <c r="AK585" s="242"/>
      <c r="AL585" s="242"/>
      <c r="AM585" s="242"/>
      <c r="AN585" s="241"/>
      <c r="AO585" s="242"/>
      <c r="AP585" s="242"/>
      <c r="AQ585" s="242"/>
      <c r="AR585" s="242"/>
      <c r="AS585" s="242"/>
      <c r="AT585" s="242"/>
      <c r="AU585" s="242"/>
      <c r="AV585" s="242"/>
      <c r="AW585" s="242"/>
      <c r="AX585" s="242"/>
      <c r="AY585" s="242"/>
      <c r="AZ585" s="242"/>
      <c r="BA585" s="242"/>
      <c r="BB585" s="237"/>
      <c r="BC585" s="242"/>
      <c r="BD585" s="242"/>
      <c r="BE585" s="242"/>
      <c r="BF585" s="242"/>
      <c r="BG585" s="242"/>
      <c r="BH585" s="242"/>
      <c r="BI585" s="242"/>
      <c r="BJ585" s="242"/>
      <c r="BK585" s="242"/>
      <c r="BL585" s="242"/>
      <c r="BM585" s="242"/>
      <c r="BN585" s="242"/>
      <c r="BO585" s="242"/>
      <c r="BP585" s="242"/>
    </row>
    <row r="586" spans="1:68" ht="14.25" hidden="1" customHeight="1" outlineLevel="1">
      <c r="A586" s="233"/>
      <c r="B586" s="237"/>
      <c r="C586" s="237"/>
      <c r="D586" s="237"/>
      <c r="E586" s="242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34"/>
      <c r="T586" s="242"/>
      <c r="U586" s="242"/>
      <c r="V586" s="242"/>
      <c r="W586" s="242"/>
      <c r="X586" s="242"/>
      <c r="Y586" s="242"/>
      <c r="Z586" s="242"/>
      <c r="AA586" s="242"/>
      <c r="AB586" s="242"/>
      <c r="AC586" s="242"/>
      <c r="AD586" s="242"/>
      <c r="AE586" s="242"/>
      <c r="AF586" s="242"/>
      <c r="AG586" s="242"/>
      <c r="AH586" s="242"/>
      <c r="AI586" s="242"/>
      <c r="AJ586" s="242"/>
      <c r="AK586" s="242"/>
      <c r="AL586" s="242"/>
      <c r="AM586" s="242"/>
      <c r="AN586" s="241"/>
      <c r="AO586" s="242"/>
      <c r="AP586" s="242"/>
      <c r="AQ586" s="242"/>
      <c r="AR586" s="242"/>
      <c r="AS586" s="242"/>
      <c r="AT586" s="242"/>
      <c r="AU586" s="242"/>
      <c r="AV586" s="242"/>
      <c r="AW586" s="242"/>
      <c r="AX586" s="242"/>
      <c r="AY586" s="242"/>
      <c r="AZ586" s="242"/>
      <c r="BA586" s="242"/>
      <c r="BB586" s="237"/>
      <c r="BC586" s="242"/>
      <c r="BD586" s="242"/>
      <c r="BE586" s="242"/>
      <c r="BF586" s="242"/>
      <c r="BG586" s="242"/>
      <c r="BH586" s="242"/>
      <c r="BI586" s="242"/>
      <c r="BJ586" s="242"/>
      <c r="BK586" s="242"/>
      <c r="BL586" s="242"/>
      <c r="BM586" s="242"/>
      <c r="BN586" s="242"/>
      <c r="BO586" s="242"/>
      <c r="BP586" s="242"/>
    </row>
    <row r="587" spans="1:68" ht="14.25" hidden="1" customHeight="1" outlineLevel="1">
      <c r="A587" s="233"/>
      <c r="B587" s="237"/>
      <c r="C587" s="237"/>
      <c r="D587" s="237"/>
      <c r="E587" s="242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34"/>
      <c r="T587" s="242"/>
      <c r="U587" s="242"/>
      <c r="V587" s="242"/>
      <c r="W587" s="242"/>
      <c r="X587" s="242"/>
      <c r="Y587" s="242"/>
      <c r="Z587" s="242"/>
      <c r="AA587" s="242"/>
      <c r="AB587" s="242"/>
      <c r="AC587" s="242"/>
      <c r="AD587" s="242"/>
      <c r="AE587" s="242"/>
      <c r="AF587" s="242"/>
      <c r="AG587" s="242"/>
      <c r="AH587" s="242"/>
      <c r="AI587" s="242"/>
      <c r="AJ587" s="242"/>
      <c r="AK587" s="242"/>
      <c r="AL587" s="242"/>
      <c r="AM587" s="242"/>
      <c r="AN587" s="241"/>
      <c r="AO587" s="242"/>
      <c r="AP587" s="242"/>
      <c r="AQ587" s="242"/>
      <c r="AR587" s="242"/>
      <c r="AS587" s="242"/>
      <c r="AT587" s="242"/>
      <c r="AU587" s="242"/>
      <c r="AV587" s="242"/>
      <c r="AW587" s="242"/>
      <c r="AX587" s="242"/>
      <c r="AY587" s="242"/>
      <c r="AZ587" s="242"/>
      <c r="BA587" s="242"/>
      <c r="BB587" s="237"/>
      <c r="BC587" s="242"/>
      <c r="BD587" s="242"/>
      <c r="BE587" s="242"/>
      <c r="BF587" s="242"/>
      <c r="BG587" s="242"/>
      <c r="BH587" s="242"/>
      <c r="BI587" s="242"/>
      <c r="BJ587" s="242"/>
      <c r="BK587" s="242"/>
      <c r="BL587" s="242"/>
      <c r="BM587" s="242"/>
      <c r="BN587" s="242"/>
      <c r="BO587" s="242"/>
      <c r="BP587" s="242"/>
    </row>
    <row r="588" spans="1:68" ht="14.25" hidden="1" customHeight="1" outlineLevel="1">
      <c r="A588" s="233"/>
      <c r="B588" s="237"/>
      <c r="C588" s="237"/>
      <c r="D588" s="237"/>
      <c r="E588" s="242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34"/>
      <c r="T588" s="242"/>
      <c r="U588" s="242"/>
      <c r="V588" s="242"/>
      <c r="W588" s="242"/>
      <c r="X588" s="242"/>
      <c r="Y588" s="242"/>
      <c r="Z588" s="242"/>
      <c r="AA588" s="242"/>
      <c r="AB588" s="242"/>
      <c r="AC588" s="242"/>
      <c r="AD588" s="242"/>
      <c r="AE588" s="242"/>
      <c r="AF588" s="242"/>
      <c r="AG588" s="242"/>
      <c r="AH588" s="242"/>
      <c r="AI588" s="242"/>
      <c r="AJ588" s="242"/>
      <c r="AK588" s="242"/>
      <c r="AL588" s="242"/>
      <c r="AM588" s="242"/>
      <c r="AN588" s="241"/>
      <c r="AO588" s="242"/>
      <c r="AP588" s="242"/>
      <c r="AQ588" s="242"/>
      <c r="AR588" s="242"/>
      <c r="AS588" s="242"/>
      <c r="AT588" s="242"/>
      <c r="AU588" s="242"/>
      <c r="AV588" s="242"/>
      <c r="AW588" s="242"/>
      <c r="AX588" s="242"/>
      <c r="AY588" s="242"/>
      <c r="AZ588" s="242"/>
      <c r="BA588" s="242"/>
      <c r="BB588" s="237"/>
      <c r="BC588" s="242"/>
      <c r="BD588" s="242"/>
      <c r="BE588" s="242"/>
      <c r="BF588" s="242"/>
      <c r="BG588" s="242"/>
      <c r="BH588" s="242"/>
      <c r="BI588" s="242"/>
      <c r="BJ588" s="242"/>
      <c r="BK588" s="242"/>
      <c r="BL588" s="242"/>
      <c r="BM588" s="242"/>
      <c r="BN588" s="242"/>
      <c r="BO588" s="242"/>
      <c r="BP588" s="242"/>
    </row>
    <row r="589" spans="1:68" ht="14.25" hidden="1" customHeight="1" outlineLevel="1">
      <c r="A589" s="233"/>
      <c r="B589" s="237"/>
      <c r="C589" s="237"/>
      <c r="D589" s="237"/>
      <c r="E589" s="242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34"/>
      <c r="T589" s="242"/>
      <c r="U589" s="242"/>
      <c r="V589" s="242"/>
      <c r="W589" s="242"/>
      <c r="X589" s="242"/>
      <c r="Y589" s="242"/>
      <c r="Z589" s="242"/>
      <c r="AA589" s="242"/>
      <c r="AB589" s="242"/>
      <c r="AC589" s="242"/>
      <c r="AD589" s="242"/>
      <c r="AE589" s="242"/>
      <c r="AF589" s="242"/>
      <c r="AG589" s="242"/>
      <c r="AH589" s="242"/>
      <c r="AI589" s="242"/>
      <c r="AJ589" s="242"/>
      <c r="AK589" s="242"/>
      <c r="AL589" s="242"/>
      <c r="AM589" s="242"/>
      <c r="AN589" s="241"/>
      <c r="AO589" s="242"/>
      <c r="AP589" s="242"/>
      <c r="AQ589" s="242"/>
      <c r="AR589" s="242"/>
      <c r="AS589" s="242"/>
      <c r="AT589" s="242"/>
      <c r="AU589" s="242"/>
      <c r="AV589" s="242"/>
      <c r="AW589" s="242"/>
      <c r="AX589" s="242"/>
      <c r="AY589" s="242"/>
      <c r="AZ589" s="242"/>
      <c r="BA589" s="242"/>
      <c r="BB589" s="237"/>
      <c r="BC589" s="242"/>
      <c r="BD589" s="242"/>
      <c r="BE589" s="242"/>
      <c r="BF589" s="242"/>
      <c r="BG589" s="242"/>
      <c r="BH589" s="242"/>
      <c r="BI589" s="242"/>
      <c r="BJ589" s="242"/>
      <c r="BK589" s="242"/>
      <c r="BL589" s="242"/>
      <c r="BM589" s="242"/>
      <c r="BN589" s="242"/>
      <c r="BO589" s="242"/>
      <c r="BP589" s="242"/>
    </row>
    <row r="590" spans="1:68" ht="14.25" hidden="1" customHeight="1" outlineLevel="1">
      <c r="A590" s="233"/>
      <c r="B590" s="237"/>
      <c r="C590" s="237"/>
      <c r="D590" s="237"/>
      <c r="E590" s="242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34"/>
      <c r="T590" s="242"/>
      <c r="U590" s="242"/>
      <c r="V590" s="242"/>
      <c r="W590" s="242"/>
      <c r="X590" s="242"/>
      <c r="Y590" s="242"/>
      <c r="Z590" s="242"/>
      <c r="AA590" s="242"/>
      <c r="AB590" s="242"/>
      <c r="AC590" s="242"/>
      <c r="AD590" s="242"/>
      <c r="AE590" s="242"/>
      <c r="AF590" s="242"/>
      <c r="AG590" s="242"/>
      <c r="AH590" s="242"/>
      <c r="AI590" s="242"/>
      <c r="AJ590" s="242"/>
      <c r="AK590" s="242"/>
      <c r="AL590" s="242"/>
      <c r="AM590" s="242"/>
      <c r="AN590" s="241"/>
      <c r="AO590" s="242"/>
      <c r="AP590" s="242"/>
      <c r="AQ590" s="242"/>
      <c r="AR590" s="242"/>
      <c r="AS590" s="242"/>
      <c r="AT590" s="242"/>
      <c r="AU590" s="242"/>
      <c r="AV590" s="242"/>
      <c r="AW590" s="242"/>
      <c r="AX590" s="242"/>
      <c r="AY590" s="242"/>
      <c r="AZ590" s="242"/>
      <c r="BA590" s="242"/>
      <c r="BB590" s="237"/>
      <c r="BC590" s="242"/>
      <c r="BD590" s="242"/>
      <c r="BE590" s="242"/>
      <c r="BF590" s="242"/>
      <c r="BG590" s="242"/>
      <c r="BH590" s="242"/>
      <c r="BI590" s="242"/>
      <c r="BJ590" s="242"/>
      <c r="BK590" s="242"/>
      <c r="BL590" s="242"/>
      <c r="BM590" s="242"/>
      <c r="BN590" s="242"/>
      <c r="BO590" s="242"/>
      <c r="BP590" s="242"/>
    </row>
    <row r="591" spans="1:68" ht="14.25" hidden="1" customHeight="1" outlineLevel="1">
      <c r="A591" s="233"/>
      <c r="B591" s="237"/>
      <c r="C591" s="237"/>
      <c r="D591" s="237"/>
      <c r="E591" s="242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34"/>
      <c r="T591" s="242"/>
      <c r="U591" s="242"/>
      <c r="V591" s="242"/>
      <c r="W591" s="242"/>
      <c r="X591" s="242"/>
      <c r="Y591" s="242"/>
      <c r="Z591" s="242"/>
      <c r="AA591" s="242"/>
      <c r="AB591" s="242"/>
      <c r="AC591" s="242"/>
      <c r="AD591" s="242"/>
      <c r="AE591" s="242"/>
      <c r="AF591" s="242"/>
      <c r="AG591" s="242"/>
      <c r="AH591" s="242"/>
      <c r="AI591" s="242"/>
      <c r="AJ591" s="242"/>
      <c r="AK591" s="242"/>
      <c r="AL591" s="242"/>
      <c r="AM591" s="242"/>
      <c r="AN591" s="241"/>
      <c r="AO591" s="242"/>
      <c r="AP591" s="242"/>
      <c r="AQ591" s="242"/>
      <c r="AR591" s="242"/>
      <c r="AS591" s="242"/>
      <c r="AT591" s="242"/>
      <c r="AU591" s="242"/>
      <c r="AV591" s="242"/>
      <c r="AW591" s="242"/>
      <c r="AX591" s="242"/>
      <c r="AY591" s="242"/>
      <c r="AZ591" s="242"/>
      <c r="BA591" s="242"/>
      <c r="BB591" s="237"/>
      <c r="BC591" s="242"/>
      <c r="BD591" s="242"/>
      <c r="BE591" s="242"/>
      <c r="BF591" s="242"/>
      <c r="BG591" s="242"/>
      <c r="BH591" s="242"/>
      <c r="BI591" s="242"/>
      <c r="BJ591" s="242"/>
      <c r="BK591" s="242"/>
      <c r="BL591" s="242"/>
      <c r="BM591" s="242"/>
      <c r="BN591" s="242"/>
      <c r="BO591" s="242"/>
      <c r="BP591" s="242"/>
    </row>
    <row r="592" spans="1:68" ht="14.25" hidden="1" customHeight="1" outlineLevel="1">
      <c r="A592" s="233"/>
      <c r="B592" s="237"/>
      <c r="C592" s="237"/>
      <c r="D592" s="237"/>
      <c r="E592" s="242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34"/>
      <c r="T592" s="242"/>
      <c r="U592" s="242"/>
      <c r="V592" s="242"/>
      <c r="W592" s="242"/>
      <c r="X592" s="242"/>
      <c r="Y592" s="242"/>
      <c r="Z592" s="242"/>
      <c r="AA592" s="242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2"/>
      <c r="AN592" s="241"/>
      <c r="AO592" s="242"/>
      <c r="AP592" s="242"/>
      <c r="AQ592" s="242"/>
      <c r="AR592" s="242"/>
      <c r="AS592" s="242"/>
      <c r="AT592" s="242"/>
      <c r="AU592" s="242"/>
      <c r="AV592" s="242"/>
      <c r="AW592" s="242"/>
      <c r="AX592" s="242"/>
      <c r="AY592" s="242"/>
      <c r="AZ592" s="242"/>
      <c r="BA592" s="242"/>
      <c r="BB592" s="237"/>
      <c r="BC592" s="242"/>
      <c r="BD592" s="242"/>
      <c r="BE592" s="242"/>
      <c r="BF592" s="242"/>
      <c r="BG592" s="242"/>
      <c r="BH592" s="242"/>
      <c r="BI592" s="242"/>
      <c r="BJ592" s="242"/>
      <c r="BK592" s="242"/>
      <c r="BL592" s="242"/>
      <c r="BM592" s="242"/>
      <c r="BN592" s="242"/>
      <c r="BO592" s="242"/>
      <c r="BP592" s="242"/>
    </row>
    <row r="593" spans="1:68" ht="14.25" hidden="1" customHeight="1" outlineLevel="1">
      <c r="A593" s="233"/>
      <c r="B593" s="237"/>
      <c r="C593" s="237"/>
      <c r="D593" s="237"/>
      <c r="E593" s="242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34"/>
      <c r="T593" s="242"/>
      <c r="U593" s="242"/>
      <c r="V593" s="242"/>
      <c r="W593" s="242"/>
      <c r="X593" s="242"/>
      <c r="Y593" s="242"/>
      <c r="Z593" s="242"/>
      <c r="AA593" s="242"/>
      <c r="AB593" s="242"/>
      <c r="AC593" s="242"/>
      <c r="AD593" s="242"/>
      <c r="AE593" s="242"/>
      <c r="AF593" s="242"/>
      <c r="AG593" s="242"/>
      <c r="AH593" s="242"/>
      <c r="AI593" s="242"/>
      <c r="AJ593" s="242"/>
      <c r="AK593" s="242"/>
      <c r="AL593" s="242"/>
      <c r="AM593" s="242"/>
      <c r="AN593" s="241"/>
      <c r="AO593" s="242"/>
      <c r="AP593" s="242"/>
      <c r="AQ593" s="242"/>
      <c r="AR593" s="242"/>
      <c r="AS593" s="242"/>
      <c r="AT593" s="242"/>
      <c r="AU593" s="242"/>
      <c r="AV593" s="242"/>
      <c r="AW593" s="242"/>
      <c r="AX593" s="242"/>
      <c r="AY593" s="242"/>
      <c r="AZ593" s="242"/>
      <c r="BA593" s="242"/>
      <c r="BB593" s="237"/>
      <c r="BC593" s="242"/>
      <c r="BD593" s="242"/>
      <c r="BE593" s="242"/>
      <c r="BF593" s="242"/>
      <c r="BG593" s="242"/>
      <c r="BH593" s="242"/>
      <c r="BI593" s="242"/>
      <c r="BJ593" s="242"/>
      <c r="BK593" s="242"/>
      <c r="BL593" s="242"/>
      <c r="BM593" s="242"/>
      <c r="BN593" s="242"/>
      <c r="BO593" s="242"/>
      <c r="BP593" s="242"/>
    </row>
    <row r="594" spans="1:68" ht="14.25" hidden="1" customHeight="1" outlineLevel="1">
      <c r="A594" s="233"/>
      <c r="B594" s="237"/>
      <c r="C594" s="237"/>
      <c r="D594" s="237"/>
      <c r="E594" s="242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34"/>
      <c r="T594" s="242"/>
      <c r="U594" s="242"/>
      <c r="V594" s="242"/>
      <c r="W594" s="242"/>
      <c r="X594" s="242"/>
      <c r="Y594" s="242"/>
      <c r="Z594" s="242"/>
      <c r="AA594" s="242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2"/>
      <c r="AN594" s="241"/>
      <c r="AO594" s="242"/>
      <c r="AP594" s="242"/>
      <c r="AQ594" s="242"/>
      <c r="AR594" s="242"/>
      <c r="AS594" s="242"/>
      <c r="AT594" s="242"/>
      <c r="AU594" s="242"/>
      <c r="AV594" s="242"/>
      <c r="AW594" s="242"/>
      <c r="AX594" s="242"/>
      <c r="AY594" s="242"/>
      <c r="AZ594" s="242"/>
      <c r="BA594" s="242"/>
      <c r="BB594" s="237"/>
      <c r="BC594" s="242"/>
      <c r="BD594" s="242"/>
      <c r="BE594" s="242"/>
      <c r="BF594" s="242"/>
      <c r="BG594" s="242"/>
      <c r="BH594" s="242"/>
      <c r="BI594" s="242"/>
      <c r="BJ594" s="242"/>
      <c r="BK594" s="242"/>
      <c r="BL594" s="242"/>
      <c r="BM594" s="242"/>
      <c r="BN594" s="242"/>
      <c r="BO594" s="242"/>
      <c r="BP594" s="242"/>
    </row>
    <row r="595" spans="1:68" ht="14.25" hidden="1" customHeight="1" outlineLevel="1">
      <c r="A595" s="233"/>
      <c r="B595" s="237"/>
      <c r="C595" s="237"/>
      <c r="D595" s="237"/>
      <c r="E595" s="242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34"/>
      <c r="T595" s="242"/>
      <c r="U595" s="242"/>
      <c r="V595" s="242"/>
      <c r="W595" s="242"/>
      <c r="X595" s="242"/>
      <c r="Y595" s="242"/>
      <c r="Z595" s="242"/>
      <c r="AA595" s="242"/>
      <c r="AB595" s="242"/>
      <c r="AC595" s="242"/>
      <c r="AD595" s="242"/>
      <c r="AE595" s="242"/>
      <c r="AF595" s="242"/>
      <c r="AG595" s="242"/>
      <c r="AH595" s="242"/>
      <c r="AI595" s="242"/>
      <c r="AJ595" s="242"/>
      <c r="AK595" s="242"/>
      <c r="AL595" s="242"/>
      <c r="AM595" s="242"/>
      <c r="AN595" s="241"/>
      <c r="AO595" s="242"/>
      <c r="AP595" s="242"/>
      <c r="AQ595" s="242"/>
      <c r="AR595" s="242"/>
      <c r="AS595" s="242"/>
      <c r="AT595" s="242"/>
      <c r="AU595" s="242"/>
      <c r="AV595" s="242"/>
      <c r="AW595" s="242"/>
      <c r="AX595" s="242"/>
      <c r="AY595" s="242"/>
      <c r="AZ595" s="242"/>
      <c r="BA595" s="242"/>
      <c r="BB595" s="237"/>
      <c r="BC595" s="242"/>
      <c r="BD595" s="242"/>
      <c r="BE595" s="242"/>
      <c r="BF595" s="242"/>
      <c r="BG595" s="242"/>
      <c r="BH595" s="242"/>
      <c r="BI595" s="242"/>
      <c r="BJ595" s="242"/>
      <c r="BK595" s="242"/>
      <c r="BL595" s="242"/>
      <c r="BM595" s="242"/>
      <c r="BN595" s="242"/>
      <c r="BO595" s="242"/>
      <c r="BP595" s="242"/>
    </row>
    <row r="596" spans="1:68" ht="14.25" hidden="1" customHeight="1" outlineLevel="1">
      <c r="A596" s="233"/>
      <c r="B596" s="237"/>
      <c r="C596" s="237"/>
      <c r="D596" s="237"/>
      <c r="E596" s="242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34"/>
      <c r="T596" s="242"/>
      <c r="U596" s="242"/>
      <c r="V596" s="242"/>
      <c r="W596" s="242"/>
      <c r="X596" s="242"/>
      <c r="Y596" s="242"/>
      <c r="Z596" s="242"/>
      <c r="AA596" s="242"/>
      <c r="AB596" s="242"/>
      <c r="AC596" s="242"/>
      <c r="AD596" s="242"/>
      <c r="AE596" s="242"/>
      <c r="AF596" s="242"/>
      <c r="AG596" s="242"/>
      <c r="AH596" s="242"/>
      <c r="AI596" s="242"/>
      <c r="AJ596" s="242"/>
      <c r="AK596" s="242"/>
      <c r="AL596" s="242"/>
      <c r="AM596" s="242"/>
      <c r="AN596" s="241"/>
      <c r="AO596" s="242"/>
      <c r="AP596" s="242"/>
      <c r="AQ596" s="242"/>
      <c r="AR596" s="242"/>
      <c r="AS596" s="242"/>
      <c r="AT596" s="242"/>
      <c r="AU596" s="242"/>
      <c r="AV596" s="242"/>
      <c r="AW596" s="242"/>
      <c r="AX596" s="242"/>
      <c r="AY596" s="242"/>
      <c r="AZ596" s="242"/>
      <c r="BA596" s="242"/>
      <c r="BB596" s="237"/>
      <c r="BC596" s="242"/>
      <c r="BD596" s="242"/>
      <c r="BE596" s="242"/>
      <c r="BF596" s="242"/>
      <c r="BG596" s="242"/>
      <c r="BH596" s="242"/>
      <c r="BI596" s="242"/>
      <c r="BJ596" s="242"/>
      <c r="BK596" s="242"/>
      <c r="BL596" s="242"/>
      <c r="BM596" s="242"/>
      <c r="BN596" s="242"/>
      <c r="BO596" s="242"/>
      <c r="BP596" s="242"/>
    </row>
    <row r="597" spans="1:68" ht="14.25" hidden="1" customHeight="1" outlineLevel="1">
      <c r="A597" s="233"/>
      <c r="B597" s="237"/>
      <c r="C597" s="237"/>
      <c r="D597" s="237"/>
      <c r="E597" s="242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34"/>
      <c r="T597" s="242"/>
      <c r="U597" s="242"/>
      <c r="V597" s="242"/>
      <c r="W597" s="242"/>
      <c r="X597" s="242"/>
      <c r="Y597" s="242"/>
      <c r="Z597" s="242"/>
      <c r="AA597" s="242"/>
      <c r="AB597" s="242"/>
      <c r="AC597" s="242"/>
      <c r="AD597" s="242"/>
      <c r="AE597" s="242"/>
      <c r="AF597" s="242"/>
      <c r="AG597" s="242"/>
      <c r="AH597" s="242"/>
      <c r="AI597" s="242"/>
      <c r="AJ597" s="242"/>
      <c r="AK597" s="242"/>
      <c r="AL597" s="242"/>
      <c r="AM597" s="242"/>
      <c r="AN597" s="241"/>
      <c r="AO597" s="242"/>
      <c r="AP597" s="242"/>
      <c r="AQ597" s="242"/>
      <c r="AR597" s="242"/>
      <c r="AS597" s="242"/>
      <c r="AT597" s="242"/>
      <c r="AU597" s="242"/>
      <c r="AV597" s="242"/>
      <c r="AW597" s="242"/>
      <c r="AX597" s="242"/>
      <c r="AY597" s="242"/>
      <c r="AZ597" s="242"/>
      <c r="BA597" s="242"/>
      <c r="BB597" s="237"/>
      <c r="BC597" s="242"/>
      <c r="BD597" s="242"/>
      <c r="BE597" s="242"/>
      <c r="BF597" s="242"/>
      <c r="BG597" s="242"/>
      <c r="BH597" s="242"/>
      <c r="BI597" s="242"/>
      <c r="BJ597" s="242"/>
      <c r="BK597" s="242"/>
      <c r="BL597" s="242"/>
      <c r="BM597" s="242"/>
      <c r="BN597" s="242"/>
      <c r="BO597" s="242"/>
      <c r="BP597" s="242"/>
    </row>
    <row r="598" spans="1:68" ht="14.25" hidden="1" customHeight="1" outlineLevel="1">
      <c r="A598" s="233"/>
      <c r="B598" s="237"/>
      <c r="C598" s="237"/>
      <c r="D598" s="237"/>
      <c r="E598" s="242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34"/>
      <c r="T598" s="242"/>
      <c r="U598" s="242"/>
      <c r="V598" s="242"/>
      <c r="W598" s="242"/>
      <c r="X598" s="242"/>
      <c r="Y598" s="242"/>
      <c r="Z598" s="242"/>
      <c r="AA598" s="242"/>
      <c r="AB598" s="242"/>
      <c r="AC598" s="242"/>
      <c r="AD598" s="242"/>
      <c r="AE598" s="242"/>
      <c r="AF598" s="242"/>
      <c r="AG598" s="242"/>
      <c r="AH598" s="242"/>
      <c r="AI598" s="242"/>
      <c r="AJ598" s="242"/>
      <c r="AK598" s="242"/>
      <c r="AL598" s="242"/>
      <c r="AM598" s="242"/>
      <c r="AN598" s="241"/>
      <c r="AO598" s="242"/>
      <c r="AP598" s="242"/>
      <c r="AQ598" s="242"/>
      <c r="AR598" s="242"/>
      <c r="AS598" s="242"/>
      <c r="AT598" s="242"/>
      <c r="AU598" s="242"/>
      <c r="AV598" s="242"/>
      <c r="AW598" s="242"/>
      <c r="AX598" s="242"/>
      <c r="AY598" s="242"/>
      <c r="AZ598" s="242"/>
      <c r="BA598" s="242"/>
      <c r="BB598" s="237"/>
      <c r="BC598" s="242"/>
      <c r="BD598" s="242"/>
      <c r="BE598" s="242"/>
      <c r="BF598" s="242"/>
      <c r="BG598" s="242"/>
      <c r="BH598" s="242"/>
      <c r="BI598" s="242"/>
      <c r="BJ598" s="242"/>
      <c r="BK598" s="242"/>
      <c r="BL598" s="242"/>
      <c r="BM598" s="242"/>
      <c r="BN598" s="242"/>
      <c r="BO598" s="242"/>
      <c r="BP598" s="242"/>
    </row>
    <row r="599" spans="1:68" ht="14.25" hidden="1" customHeight="1" outlineLevel="1">
      <c r="A599" s="233"/>
      <c r="B599" s="237"/>
      <c r="C599" s="237"/>
      <c r="D599" s="237"/>
      <c r="E599" s="242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34"/>
      <c r="T599" s="242"/>
      <c r="U599" s="242"/>
      <c r="V599" s="242"/>
      <c r="W599" s="242"/>
      <c r="X599" s="242"/>
      <c r="Y599" s="242"/>
      <c r="Z599" s="242"/>
      <c r="AA599" s="242"/>
      <c r="AB599" s="242"/>
      <c r="AC599" s="242"/>
      <c r="AD599" s="242"/>
      <c r="AE599" s="242"/>
      <c r="AF599" s="242"/>
      <c r="AG599" s="242"/>
      <c r="AH599" s="242"/>
      <c r="AI599" s="242"/>
      <c r="AJ599" s="242"/>
      <c r="AK599" s="242"/>
      <c r="AL599" s="242"/>
      <c r="AM599" s="242"/>
      <c r="AN599" s="241"/>
      <c r="AO599" s="242"/>
      <c r="AP599" s="242"/>
      <c r="AQ599" s="242"/>
      <c r="AR599" s="242"/>
      <c r="AS599" s="242"/>
      <c r="AT599" s="242"/>
      <c r="AU599" s="242"/>
      <c r="AV599" s="242"/>
      <c r="AW599" s="242"/>
      <c r="AX599" s="242"/>
      <c r="AY599" s="242"/>
      <c r="AZ599" s="242"/>
      <c r="BA599" s="242"/>
      <c r="BB599" s="237"/>
      <c r="BC599" s="242"/>
      <c r="BD599" s="242"/>
      <c r="BE599" s="242"/>
      <c r="BF599" s="242"/>
      <c r="BG599" s="242"/>
      <c r="BH599" s="242"/>
      <c r="BI599" s="242"/>
      <c r="BJ599" s="242"/>
      <c r="BK599" s="242"/>
      <c r="BL599" s="242"/>
      <c r="BM599" s="242"/>
      <c r="BN599" s="242"/>
      <c r="BO599" s="242"/>
      <c r="BP599" s="242"/>
    </row>
    <row r="600" spans="1:68" ht="14.25" hidden="1" customHeight="1" outlineLevel="1">
      <c r="A600" s="233"/>
      <c r="B600" s="237"/>
      <c r="C600" s="237"/>
      <c r="D600" s="237"/>
      <c r="E600" s="242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34"/>
      <c r="T600" s="242"/>
      <c r="U600" s="242"/>
      <c r="V600" s="242"/>
      <c r="W600" s="242"/>
      <c r="X600" s="242"/>
      <c r="Y600" s="242"/>
      <c r="Z600" s="242"/>
      <c r="AA600" s="242"/>
      <c r="AB600" s="242"/>
      <c r="AC600" s="242"/>
      <c r="AD600" s="242"/>
      <c r="AE600" s="242"/>
      <c r="AF600" s="242"/>
      <c r="AG600" s="242"/>
      <c r="AH600" s="242"/>
      <c r="AI600" s="242"/>
      <c r="AJ600" s="242"/>
      <c r="AK600" s="242"/>
      <c r="AL600" s="242"/>
      <c r="AM600" s="242"/>
      <c r="AN600" s="241"/>
      <c r="AO600" s="242"/>
      <c r="AP600" s="242"/>
      <c r="AQ600" s="242"/>
      <c r="AR600" s="242"/>
      <c r="AS600" s="242"/>
      <c r="AT600" s="242"/>
      <c r="AU600" s="242"/>
      <c r="AV600" s="242"/>
      <c r="AW600" s="242"/>
      <c r="AX600" s="242"/>
      <c r="AY600" s="242"/>
      <c r="AZ600" s="242"/>
      <c r="BA600" s="242"/>
      <c r="BB600" s="237"/>
      <c r="BC600" s="242"/>
      <c r="BD600" s="242"/>
      <c r="BE600" s="242"/>
      <c r="BF600" s="242"/>
      <c r="BG600" s="242"/>
      <c r="BH600" s="242"/>
      <c r="BI600" s="242"/>
      <c r="BJ600" s="242"/>
      <c r="BK600" s="242"/>
      <c r="BL600" s="242"/>
      <c r="BM600" s="242"/>
      <c r="BN600" s="242"/>
      <c r="BO600" s="242"/>
      <c r="BP600" s="242"/>
    </row>
    <row r="601" spans="1:68" ht="14.25" hidden="1" customHeight="1" outlineLevel="1">
      <c r="A601" s="233"/>
      <c r="B601" s="237"/>
      <c r="C601" s="237"/>
      <c r="D601" s="237"/>
      <c r="E601" s="242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34"/>
      <c r="T601" s="242"/>
      <c r="U601" s="242"/>
      <c r="V601" s="242"/>
      <c r="W601" s="242"/>
      <c r="X601" s="242"/>
      <c r="Y601" s="242"/>
      <c r="Z601" s="242"/>
      <c r="AA601" s="242"/>
      <c r="AB601" s="242"/>
      <c r="AC601" s="242"/>
      <c r="AD601" s="242"/>
      <c r="AE601" s="242"/>
      <c r="AF601" s="242"/>
      <c r="AG601" s="242"/>
      <c r="AH601" s="242"/>
      <c r="AI601" s="242"/>
      <c r="AJ601" s="242"/>
      <c r="AK601" s="242"/>
      <c r="AL601" s="242"/>
      <c r="AM601" s="242"/>
      <c r="AN601" s="241"/>
      <c r="AO601" s="242"/>
      <c r="AP601" s="242"/>
      <c r="AQ601" s="242"/>
      <c r="AR601" s="242"/>
      <c r="AS601" s="242"/>
      <c r="AT601" s="242"/>
      <c r="AU601" s="242"/>
      <c r="AV601" s="242"/>
      <c r="AW601" s="242"/>
      <c r="AX601" s="242"/>
      <c r="AY601" s="242"/>
      <c r="AZ601" s="242"/>
      <c r="BA601" s="242"/>
      <c r="BB601" s="237"/>
      <c r="BC601" s="242"/>
      <c r="BD601" s="242"/>
      <c r="BE601" s="242"/>
      <c r="BF601" s="242"/>
      <c r="BG601" s="242"/>
      <c r="BH601" s="242"/>
      <c r="BI601" s="242"/>
      <c r="BJ601" s="242"/>
      <c r="BK601" s="242"/>
      <c r="BL601" s="242"/>
      <c r="BM601" s="242"/>
      <c r="BN601" s="242"/>
      <c r="BO601" s="242"/>
      <c r="BP601" s="242"/>
    </row>
    <row r="602" spans="1:68" ht="14.25" hidden="1" customHeight="1" outlineLevel="1">
      <c r="A602" s="233"/>
      <c r="B602" s="237"/>
      <c r="C602" s="237"/>
      <c r="D602" s="237"/>
      <c r="E602" s="242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34"/>
      <c r="T602" s="242"/>
      <c r="U602" s="242"/>
      <c r="V602" s="242"/>
      <c r="W602" s="242"/>
      <c r="X602" s="242"/>
      <c r="Y602" s="242"/>
      <c r="Z602" s="242"/>
      <c r="AA602" s="242"/>
      <c r="AB602" s="242"/>
      <c r="AC602" s="242"/>
      <c r="AD602" s="242"/>
      <c r="AE602" s="242"/>
      <c r="AF602" s="242"/>
      <c r="AG602" s="242"/>
      <c r="AH602" s="242"/>
      <c r="AI602" s="242"/>
      <c r="AJ602" s="242"/>
      <c r="AK602" s="242"/>
      <c r="AL602" s="242"/>
      <c r="AM602" s="242"/>
      <c r="AN602" s="241"/>
      <c r="AO602" s="242"/>
      <c r="AP602" s="242"/>
      <c r="AQ602" s="242"/>
      <c r="AR602" s="242"/>
      <c r="AS602" s="242"/>
      <c r="AT602" s="242"/>
      <c r="AU602" s="242"/>
      <c r="AV602" s="242"/>
      <c r="AW602" s="242"/>
      <c r="AX602" s="242"/>
      <c r="AY602" s="242"/>
      <c r="AZ602" s="242"/>
      <c r="BA602" s="242"/>
      <c r="BB602" s="237"/>
      <c r="BC602" s="242"/>
      <c r="BD602" s="242"/>
      <c r="BE602" s="242"/>
      <c r="BF602" s="242"/>
      <c r="BG602" s="242"/>
      <c r="BH602" s="242"/>
      <c r="BI602" s="242"/>
      <c r="BJ602" s="242"/>
      <c r="BK602" s="242"/>
      <c r="BL602" s="242"/>
      <c r="BM602" s="242"/>
      <c r="BN602" s="242"/>
      <c r="BO602" s="242"/>
      <c r="BP602" s="242"/>
    </row>
    <row r="603" spans="1:68" ht="14.25" hidden="1" customHeight="1" outlineLevel="1">
      <c r="A603" s="233"/>
      <c r="B603" s="237"/>
      <c r="C603" s="237"/>
      <c r="D603" s="237"/>
      <c r="E603" s="242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34"/>
      <c r="T603" s="242"/>
      <c r="U603" s="242"/>
      <c r="V603" s="242"/>
      <c r="W603" s="242"/>
      <c r="X603" s="242"/>
      <c r="Y603" s="242"/>
      <c r="Z603" s="242"/>
      <c r="AA603" s="242"/>
      <c r="AB603" s="242"/>
      <c r="AC603" s="242"/>
      <c r="AD603" s="242"/>
      <c r="AE603" s="242"/>
      <c r="AF603" s="242"/>
      <c r="AG603" s="242"/>
      <c r="AH603" s="242"/>
      <c r="AI603" s="242"/>
      <c r="AJ603" s="242"/>
      <c r="AK603" s="242"/>
      <c r="AL603" s="242"/>
      <c r="AM603" s="242"/>
      <c r="AN603" s="241"/>
      <c r="AO603" s="242"/>
      <c r="AP603" s="242"/>
      <c r="AQ603" s="242"/>
      <c r="AR603" s="242"/>
      <c r="AS603" s="242"/>
      <c r="AT603" s="242"/>
      <c r="AU603" s="242"/>
      <c r="AV603" s="242"/>
      <c r="AW603" s="242"/>
      <c r="AX603" s="242"/>
      <c r="AY603" s="242"/>
      <c r="AZ603" s="242"/>
      <c r="BA603" s="242"/>
      <c r="BB603" s="237"/>
      <c r="BC603" s="242"/>
      <c r="BD603" s="242"/>
      <c r="BE603" s="242"/>
      <c r="BF603" s="242"/>
      <c r="BG603" s="242"/>
      <c r="BH603" s="242"/>
      <c r="BI603" s="242"/>
      <c r="BJ603" s="242"/>
      <c r="BK603" s="242"/>
      <c r="BL603" s="242"/>
      <c r="BM603" s="242"/>
      <c r="BN603" s="242"/>
      <c r="BO603" s="242"/>
      <c r="BP603" s="242"/>
    </row>
    <row r="604" spans="1:68" ht="14.25" hidden="1" customHeight="1" outlineLevel="1">
      <c r="A604" s="233"/>
      <c r="B604" s="237"/>
      <c r="C604" s="237"/>
      <c r="D604" s="237"/>
      <c r="E604" s="242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34"/>
      <c r="T604" s="242"/>
      <c r="U604" s="242"/>
      <c r="V604" s="242"/>
      <c r="W604" s="242"/>
      <c r="X604" s="242"/>
      <c r="Y604" s="242"/>
      <c r="Z604" s="242"/>
      <c r="AA604" s="242"/>
      <c r="AB604" s="242"/>
      <c r="AC604" s="242"/>
      <c r="AD604" s="242"/>
      <c r="AE604" s="242"/>
      <c r="AF604" s="242"/>
      <c r="AG604" s="242"/>
      <c r="AH604" s="242"/>
      <c r="AI604" s="242"/>
      <c r="AJ604" s="242"/>
      <c r="AK604" s="242"/>
      <c r="AL604" s="242"/>
      <c r="AM604" s="242"/>
      <c r="AN604" s="241"/>
      <c r="AO604" s="242"/>
      <c r="AP604" s="242"/>
      <c r="AQ604" s="242"/>
      <c r="AR604" s="242"/>
      <c r="AS604" s="242"/>
      <c r="AT604" s="242"/>
      <c r="AU604" s="242"/>
      <c r="AV604" s="242"/>
      <c r="AW604" s="242"/>
      <c r="AX604" s="242"/>
      <c r="AY604" s="242"/>
      <c r="AZ604" s="242"/>
      <c r="BA604" s="242"/>
      <c r="BB604" s="237"/>
      <c r="BC604" s="242"/>
      <c r="BD604" s="242"/>
      <c r="BE604" s="242"/>
      <c r="BF604" s="242"/>
      <c r="BG604" s="242"/>
      <c r="BH604" s="242"/>
      <c r="BI604" s="242"/>
      <c r="BJ604" s="242"/>
      <c r="BK604" s="242"/>
      <c r="BL604" s="242"/>
      <c r="BM604" s="242"/>
      <c r="BN604" s="242"/>
      <c r="BO604" s="242"/>
      <c r="BP604" s="242"/>
    </row>
    <row r="605" spans="1:68" ht="14.25" hidden="1" customHeight="1" outlineLevel="1">
      <c r="A605" s="233"/>
      <c r="B605" s="237"/>
      <c r="C605" s="237"/>
      <c r="D605" s="237"/>
      <c r="E605" s="242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34"/>
      <c r="T605" s="242"/>
      <c r="U605" s="242"/>
      <c r="V605" s="242"/>
      <c r="W605" s="242"/>
      <c r="X605" s="242"/>
      <c r="Y605" s="242"/>
      <c r="Z605" s="242"/>
      <c r="AA605" s="242"/>
      <c r="AB605" s="242"/>
      <c r="AC605" s="242"/>
      <c r="AD605" s="242"/>
      <c r="AE605" s="242"/>
      <c r="AF605" s="242"/>
      <c r="AG605" s="242"/>
      <c r="AH605" s="242"/>
      <c r="AI605" s="242"/>
      <c r="AJ605" s="242"/>
      <c r="AK605" s="242"/>
      <c r="AL605" s="242"/>
      <c r="AM605" s="242"/>
      <c r="AN605" s="241"/>
      <c r="AO605" s="242"/>
      <c r="AP605" s="242"/>
      <c r="AQ605" s="242"/>
      <c r="AR605" s="242"/>
      <c r="AS605" s="242"/>
      <c r="AT605" s="242"/>
      <c r="AU605" s="242"/>
      <c r="AV605" s="242"/>
      <c r="AW605" s="242"/>
      <c r="AX605" s="242"/>
      <c r="AY605" s="242"/>
      <c r="AZ605" s="242"/>
      <c r="BA605" s="242"/>
      <c r="BB605" s="237"/>
      <c r="BC605" s="242"/>
      <c r="BD605" s="242"/>
      <c r="BE605" s="242"/>
      <c r="BF605" s="242"/>
      <c r="BG605" s="242"/>
      <c r="BH605" s="242"/>
      <c r="BI605" s="242"/>
      <c r="BJ605" s="242"/>
      <c r="BK605" s="242"/>
      <c r="BL605" s="242"/>
      <c r="BM605" s="242"/>
      <c r="BN605" s="242"/>
      <c r="BO605" s="242"/>
      <c r="BP605" s="242"/>
    </row>
    <row r="606" spans="1:68" ht="14.25" hidden="1" customHeight="1" outlineLevel="1">
      <c r="A606" s="233"/>
      <c r="B606" s="237"/>
      <c r="C606" s="237"/>
      <c r="D606" s="237"/>
      <c r="E606" s="242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34"/>
      <c r="T606" s="242"/>
      <c r="U606" s="242"/>
      <c r="V606" s="242"/>
      <c r="W606" s="242"/>
      <c r="X606" s="242"/>
      <c r="Y606" s="242"/>
      <c r="Z606" s="242"/>
      <c r="AA606" s="242"/>
      <c r="AB606" s="242"/>
      <c r="AC606" s="242"/>
      <c r="AD606" s="242"/>
      <c r="AE606" s="242"/>
      <c r="AF606" s="242"/>
      <c r="AG606" s="242"/>
      <c r="AH606" s="242"/>
      <c r="AI606" s="242"/>
      <c r="AJ606" s="242"/>
      <c r="AK606" s="242"/>
      <c r="AL606" s="242"/>
      <c r="AM606" s="242"/>
      <c r="AN606" s="241"/>
      <c r="AO606" s="242"/>
      <c r="AP606" s="242"/>
      <c r="AQ606" s="242"/>
      <c r="AR606" s="242"/>
      <c r="AS606" s="242"/>
      <c r="AT606" s="242"/>
      <c r="AU606" s="242"/>
      <c r="AV606" s="242"/>
      <c r="AW606" s="242"/>
      <c r="AX606" s="242"/>
      <c r="AY606" s="242"/>
      <c r="AZ606" s="242"/>
      <c r="BA606" s="242"/>
      <c r="BB606" s="237"/>
      <c r="BC606" s="242"/>
      <c r="BD606" s="242"/>
      <c r="BE606" s="242"/>
      <c r="BF606" s="242"/>
      <c r="BG606" s="242"/>
      <c r="BH606" s="242"/>
      <c r="BI606" s="242"/>
      <c r="BJ606" s="242"/>
      <c r="BK606" s="242"/>
      <c r="BL606" s="242"/>
      <c r="BM606" s="242"/>
      <c r="BN606" s="242"/>
      <c r="BO606" s="242"/>
      <c r="BP606" s="242"/>
    </row>
    <row r="607" spans="1:68" ht="14.25" hidden="1" customHeight="1" outlineLevel="1">
      <c r="A607" s="233"/>
      <c r="B607" s="237"/>
      <c r="C607" s="237"/>
      <c r="D607" s="237"/>
      <c r="E607" s="242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34"/>
      <c r="T607" s="242"/>
      <c r="U607" s="242"/>
      <c r="V607" s="242"/>
      <c r="W607" s="242"/>
      <c r="X607" s="242"/>
      <c r="Y607" s="242"/>
      <c r="Z607" s="242"/>
      <c r="AA607" s="242"/>
      <c r="AB607" s="242"/>
      <c r="AC607" s="242"/>
      <c r="AD607" s="242"/>
      <c r="AE607" s="242"/>
      <c r="AF607" s="242"/>
      <c r="AG607" s="242"/>
      <c r="AH607" s="242"/>
      <c r="AI607" s="242"/>
      <c r="AJ607" s="242"/>
      <c r="AK607" s="242"/>
      <c r="AL607" s="242"/>
      <c r="AM607" s="242"/>
      <c r="AN607" s="241"/>
      <c r="AO607" s="242"/>
      <c r="AP607" s="242"/>
      <c r="AQ607" s="242"/>
      <c r="AR607" s="242"/>
      <c r="AS607" s="242"/>
      <c r="AT607" s="242"/>
      <c r="AU607" s="242"/>
      <c r="AV607" s="242"/>
      <c r="AW607" s="242"/>
      <c r="AX607" s="242"/>
      <c r="AY607" s="242"/>
      <c r="AZ607" s="242"/>
      <c r="BA607" s="242"/>
      <c r="BB607" s="237"/>
      <c r="BC607" s="242"/>
      <c r="BD607" s="242"/>
      <c r="BE607" s="242"/>
      <c r="BF607" s="242"/>
      <c r="BG607" s="242"/>
      <c r="BH607" s="242"/>
      <c r="BI607" s="242"/>
      <c r="BJ607" s="242"/>
      <c r="BK607" s="242"/>
      <c r="BL607" s="242"/>
      <c r="BM607" s="242"/>
      <c r="BN607" s="242"/>
      <c r="BO607" s="242"/>
      <c r="BP607" s="242"/>
    </row>
    <row r="608" spans="1:68" ht="14.25" hidden="1" customHeight="1" outlineLevel="1">
      <c r="A608" s="233"/>
      <c r="B608" s="237"/>
      <c r="C608" s="237"/>
      <c r="D608" s="237"/>
      <c r="E608" s="242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34"/>
      <c r="T608" s="242"/>
      <c r="U608" s="242"/>
      <c r="V608" s="242"/>
      <c r="W608" s="242"/>
      <c r="X608" s="242"/>
      <c r="Y608" s="242"/>
      <c r="Z608" s="242"/>
      <c r="AA608" s="242"/>
      <c r="AB608" s="242"/>
      <c r="AC608" s="242"/>
      <c r="AD608" s="242"/>
      <c r="AE608" s="242"/>
      <c r="AF608" s="242"/>
      <c r="AG608" s="242"/>
      <c r="AH608" s="242"/>
      <c r="AI608" s="242"/>
      <c r="AJ608" s="242"/>
      <c r="AK608" s="242"/>
      <c r="AL608" s="242"/>
      <c r="AM608" s="242"/>
      <c r="AN608" s="241"/>
      <c r="AO608" s="242"/>
      <c r="AP608" s="242"/>
      <c r="AQ608" s="242"/>
      <c r="AR608" s="242"/>
      <c r="AS608" s="242"/>
      <c r="AT608" s="242"/>
      <c r="AU608" s="242"/>
      <c r="AV608" s="242"/>
      <c r="AW608" s="242"/>
      <c r="AX608" s="242"/>
      <c r="AY608" s="242"/>
      <c r="AZ608" s="242"/>
      <c r="BA608" s="242"/>
      <c r="BB608" s="237"/>
      <c r="BC608" s="242"/>
      <c r="BD608" s="242"/>
      <c r="BE608" s="242"/>
      <c r="BF608" s="242"/>
      <c r="BG608" s="242"/>
      <c r="BH608" s="242"/>
      <c r="BI608" s="242"/>
      <c r="BJ608" s="242"/>
      <c r="BK608" s="242"/>
      <c r="BL608" s="242"/>
      <c r="BM608" s="242"/>
      <c r="BN608" s="242"/>
      <c r="BO608" s="242"/>
      <c r="BP608" s="242"/>
    </row>
    <row r="609" spans="1:68" ht="14.25" hidden="1" customHeight="1" outlineLevel="1">
      <c r="A609" s="233"/>
      <c r="B609" s="237"/>
      <c r="C609" s="237"/>
      <c r="D609" s="237"/>
      <c r="E609" s="242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34"/>
      <c r="T609" s="242"/>
      <c r="U609" s="242"/>
      <c r="V609" s="242"/>
      <c r="W609" s="242"/>
      <c r="X609" s="242"/>
      <c r="Y609" s="242"/>
      <c r="Z609" s="242"/>
      <c r="AA609" s="242"/>
      <c r="AB609" s="242"/>
      <c r="AC609" s="242"/>
      <c r="AD609" s="242"/>
      <c r="AE609" s="242"/>
      <c r="AF609" s="242"/>
      <c r="AG609" s="242"/>
      <c r="AH609" s="242"/>
      <c r="AI609" s="242"/>
      <c r="AJ609" s="242"/>
      <c r="AK609" s="242"/>
      <c r="AL609" s="242"/>
      <c r="AM609" s="242"/>
      <c r="AN609" s="241"/>
      <c r="AO609" s="242"/>
      <c r="AP609" s="242"/>
      <c r="AQ609" s="242"/>
      <c r="AR609" s="242"/>
      <c r="AS609" s="242"/>
      <c r="AT609" s="242"/>
      <c r="AU609" s="242"/>
      <c r="AV609" s="242"/>
      <c r="AW609" s="242"/>
      <c r="AX609" s="242"/>
      <c r="AY609" s="242"/>
      <c r="AZ609" s="242"/>
      <c r="BA609" s="242"/>
      <c r="BB609" s="237"/>
      <c r="BC609" s="242"/>
      <c r="BD609" s="242"/>
      <c r="BE609" s="242"/>
      <c r="BF609" s="242"/>
      <c r="BG609" s="242"/>
      <c r="BH609" s="242"/>
      <c r="BI609" s="242"/>
      <c r="BJ609" s="242"/>
      <c r="BK609" s="242"/>
      <c r="BL609" s="242"/>
      <c r="BM609" s="242"/>
      <c r="BN609" s="242"/>
      <c r="BO609" s="242"/>
      <c r="BP609" s="242"/>
    </row>
    <row r="610" spans="1:68" ht="14.25" hidden="1" customHeight="1" outlineLevel="1">
      <c r="A610" s="233"/>
      <c r="B610" s="237"/>
      <c r="C610" s="237"/>
      <c r="D610" s="237"/>
      <c r="E610" s="242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34"/>
      <c r="T610" s="242"/>
      <c r="U610" s="242"/>
      <c r="V610" s="242"/>
      <c r="W610" s="242"/>
      <c r="X610" s="242"/>
      <c r="Y610" s="242"/>
      <c r="Z610" s="242"/>
      <c r="AA610" s="242"/>
      <c r="AB610" s="242"/>
      <c r="AC610" s="242"/>
      <c r="AD610" s="242"/>
      <c r="AE610" s="242"/>
      <c r="AF610" s="242"/>
      <c r="AG610" s="242"/>
      <c r="AH610" s="242"/>
      <c r="AI610" s="242"/>
      <c r="AJ610" s="242"/>
      <c r="AK610" s="242"/>
      <c r="AL610" s="242"/>
      <c r="AM610" s="242"/>
      <c r="AN610" s="241"/>
      <c r="AO610" s="242"/>
      <c r="AP610" s="242"/>
      <c r="AQ610" s="242"/>
      <c r="AR610" s="242"/>
      <c r="AS610" s="242"/>
      <c r="AT610" s="242"/>
      <c r="AU610" s="242"/>
      <c r="AV610" s="242"/>
      <c r="AW610" s="242"/>
      <c r="AX610" s="242"/>
      <c r="AY610" s="242"/>
      <c r="AZ610" s="242"/>
      <c r="BA610" s="242"/>
      <c r="BB610" s="237"/>
      <c r="BC610" s="242"/>
      <c r="BD610" s="242"/>
      <c r="BE610" s="242"/>
      <c r="BF610" s="242"/>
      <c r="BG610" s="242"/>
      <c r="BH610" s="242"/>
      <c r="BI610" s="242"/>
      <c r="BJ610" s="242"/>
      <c r="BK610" s="242"/>
      <c r="BL610" s="242"/>
      <c r="BM610" s="242"/>
      <c r="BN610" s="242"/>
      <c r="BO610" s="242"/>
      <c r="BP610" s="242"/>
    </row>
    <row r="611" spans="1:68" ht="14.25" hidden="1" customHeight="1" outlineLevel="1">
      <c r="A611" s="233"/>
      <c r="B611" s="237"/>
      <c r="C611" s="237"/>
      <c r="D611" s="237"/>
      <c r="E611" s="242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34"/>
      <c r="T611" s="242"/>
      <c r="U611" s="242"/>
      <c r="V611" s="242"/>
      <c r="W611" s="242"/>
      <c r="X611" s="242"/>
      <c r="Y611" s="242"/>
      <c r="Z611" s="242"/>
      <c r="AA611" s="242"/>
      <c r="AB611" s="242"/>
      <c r="AC611" s="242"/>
      <c r="AD611" s="242"/>
      <c r="AE611" s="242"/>
      <c r="AF611" s="242"/>
      <c r="AG611" s="242"/>
      <c r="AH611" s="242"/>
      <c r="AI611" s="242"/>
      <c r="AJ611" s="242"/>
      <c r="AK611" s="242"/>
      <c r="AL611" s="242"/>
      <c r="AM611" s="242"/>
      <c r="AN611" s="241"/>
      <c r="AO611" s="242"/>
      <c r="AP611" s="242"/>
      <c r="AQ611" s="242"/>
      <c r="AR611" s="242"/>
      <c r="AS611" s="242"/>
      <c r="AT611" s="242"/>
      <c r="AU611" s="242"/>
      <c r="AV611" s="242"/>
      <c r="AW611" s="242"/>
      <c r="AX611" s="242"/>
      <c r="AY611" s="242"/>
      <c r="AZ611" s="242"/>
      <c r="BA611" s="242"/>
      <c r="BB611" s="237"/>
      <c r="BC611" s="242"/>
      <c r="BD611" s="242"/>
      <c r="BE611" s="242"/>
      <c r="BF611" s="242"/>
      <c r="BG611" s="242"/>
      <c r="BH611" s="242"/>
      <c r="BI611" s="242"/>
      <c r="BJ611" s="242"/>
      <c r="BK611" s="242"/>
      <c r="BL611" s="242"/>
      <c r="BM611" s="242"/>
      <c r="BN611" s="242"/>
      <c r="BO611" s="242"/>
      <c r="BP611" s="242"/>
    </row>
    <row r="612" spans="1:68" ht="14.25" hidden="1" customHeight="1" outlineLevel="1">
      <c r="A612" s="233"/>
      <c r="B612" s="237"/>
      <c r="C612" s="237"/>
      <c r="D612" s="237"/>
      <c r="E612" s="242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34"/>
      <c r="T612" s="242"/>
      <c r="U612" s="242"/>
      <c r="V612" s="242"/>
      <c r="W612" s="242"/>
      <c r="X612" s="242"/>
      <c r="Y612" s="242"/>
      <c r="Z612" s="242"/>
      <c r="AA612" s="242"/>
      <c r="AB612" s="242"/>
      <c r="AC612" s="242"/>
      <c r="AD612" s="242"/>
      <c r="AE612" s="242"/>
      <c r="AF612" s="242"/>
      <c r="AG612" s="242"/>
      <c r="AH612" s="242"/>
      <c r="AI612" s="242"/>
      <c r="AJ612" s="242"/>
      <c r="AK612" s="242"/>
      <c r="AL612" s="242"/>
      <c r="AM612" s="242"/>
      <c r="AN612" s="241"/>
      <c r="AO612" s="242"/>
      <c r="AP612" s="242"/>
      <c r="AQ612" s="242"/>
      <c r="AR612" s="242"/>
      <c r="AS612" s="242"/>
      <c r="AT612" s="242"/>
      <c r="AU612" s="242"/>
      <c r="AV612" s="242"/>
      <c r="AW612" s="242"/>
      <c r="AX612" s="242"/>
      <c r="AY612" s="242"/>
      <c r="AZ612" s="242"/>
      <c r="BA612" s="242"/>
      <c r="BB612" s="237"/>
      <c r="BC612" s="242"/>
      <c r="BD612" s="242"/>
      <c r="BE612" s="242"/>
      <c r="BF612" s="242"/>
      <c r="BG612" s="242"/>
      <c r="BH612" s="242"/>
      <c r="BI612" s="242"/>
      <c r="BJ612" s="242"/>
      <c r="BK612" s="242"/>
      <c r="BL612" s="242"/>
      <c r="BM612" s="242"/>
      <c r="BN612" s="242"/>
      <c r="BO612" s="242"/>
      <c r="BP612" s="242"/>
    </row>
    <row r="613" spans="1:68" ht="14.25" hidden="1" customHeight="1" outlineLevel="1">
      <c r="A613" s="233"/>
      <c r="B613" s="237"/>
      <c r="C613" s="237"/>
      <c r="D613" s="237"/>
      <c r="E613" s="242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34"/>
      <c r="T613" s="242"/>
      <c r="U613" s="242"/>
      <c r="V613" s="242"/>
      <c r="W613" s="242"/>
      <c r="X613" s="242"/>
      <c r="Y613" s="242"/>
      <c r="Z613" s="242"/>
      <c r="AA613" s="242"/>
      <c r="AB613" s="242"/>
      <c r="AC613" s="242"/>
      <c r="AD613" s="242"/>
      <c r="AE613" s="242"/>
      <c r="AF613" s="242"/>
      <c r="AG613" s="242"/>
      <c r="AH613" s="242"/>
      <c r="AI613" s="242"/>
      <c r="AJ613" s="242"/>
      <c r="AK613" s="242"/>
      <c r="AL613" s="242"/>
      <c r="AM613" s="242"/>
      <c r="AN613" s="241"/>
      <c r="AO613" s="242"/>
      <c r="AP613" s="242"/>
      <c r="AQ613" s="242"/>
      <c r="AR613" s="242"/>
      <c r="AS613" s="242"/>
      <c r="AT613" s="242"/>
      <c r="AU613" s="242"/>
      <c r="AV613" s="242"/>
      <c r="AW613" s="242"/>
      <c r="AX613" s="242"/>
      <c r="AY613" s="242"/>
      <c r="AZ613" s="242"/>
      <c r="BA613" s="242"/>
      <c r="BB613" s="237"/>
      <c r="BC613" s="242"/>
      <c r="BD613" s="242"/>
      <c r="BE613" s="242"/>
      <c r="BF613" s="242"/>
      <c r="BG613" s="242"/>
      <c r="BH613" s="242"/>
      <c r="BI613" s="242"/>
      <c r="BJ613" s="242"/>
      <c r="BK613" s="242"/>
      <c r="BL613" s="242"/>
      <c r="BM613" s="242"/>
      <c r="BN613" s="242"/>
      <c r="BO613" s="242"/>
      <c r="BP613" s="242"/>
    </row>
    <row r="614" spans="1:68" ht="14.25" hidden="1" customHeight="1" outlineLevel="1">
      <c r="A614" s="233"/>
      <c r="B614" s="237"/>
      <c r="C614" s="237"/>
      <c r="D614" s="237"/>
      <c r="E614" s="242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34"/>
      <c r="T614" s="242"/>
      <c r="U614" s="242"/>
      <c r="V614" s="242"/>
      <c r="W614" s="242"/>
      <c r="X614" s="242"/>
      <c r="Y614" s="242"/>
      <c r="Z614" s="242"/>
      <c r="AA614" s="242"/>
      <c r="AB614" s="242"/>
      <c r="AC614" s="242"/>
      <c r="AD614" s="242"/>
      <c r="AE614" s="242"/>
      <c r="AF614" s="242"/>
      <c r="AG614" s="242"/>
      <c r="AH614" s="242"/>
      <c r="AI614" s="242"/>
      <c r="AJ614" s="242"/>
      <c r="AK614" s="242"/>
      <c r="AL614" s="242"/>
      <c r="AM614" s="242"/>
      <c r="AN614" s="241"/>
      <c r="AO614" s="242"/>
      <c r="AP614" s="242"/>
      <c r="AQ614" s="242"/>
      <c r="AR614" s="242"/>
      <c r="AS614" s="242"/>
      <c r="AT614" s="242"/>
      <c r="AU614" s="242"/>
      <c r="AV614" s="242"/>
      <c r="AW614" s="242"/>
      <c r="AX614" s="242"/>
      <c r="AY614" s="242"/>
      <c r="AZ614" s="242"/>
      <c r="BA614" s="242"/>
      <c r="BB614" s="237"/>
      <c r="BC614" s="242"/>
      <c r="BD614" s="242"/>
      <c r="BE614" s="242"/>
      <c r="BF614" s="242"/>
      <c r="BG614" s="242"/>
      <c r="BH614" s="242"/>
      <c r="BI614" s="242"/>
      <c r="BJ614" s="242"/>
      <c r="BK614" s="242"/>
      <c r="BL614" s="242"/>
      <c r="BM614" s="242"/>
      <c r="BN614" s="242"/>
      <c r="BO614" s="242"/>
      <c r="BP614" s="242"/>
    </row>
    <row r="615" spans="1:68" ht="14.25" hidden="1" customHeight="1" outlineLevel="1">
      <c r="A615" s="233"/>
      <c r="B615" s="237"/>
      <c r="C615" s="237"/>
      <c r="D615" s="237"/>
      <c r="E615" s="242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34"/>
      <c r="T615" s="242"/>
      <c r="U615" s="242"/>
      <c r="V615" s="242"/>
      <c r="W615" s="242"/>
      <c r="X615" s="242"/>
      <c r="Y615" s="242"/>
      <c r="Z615" s="242"/>
      <c r="AA615" s="242"/>
      <c r="AB615" s="242"/>
      <c r="AC615" s="242"/>
      <c r="AD615" s="242"/>
      <c r="AE615" s="242"/>
      <c r="AF615" s="242"/>
      <c r="AG615" s="242"/>
      <c r="AH615" s="242"/>
      <c r="AI615" s="242"/>
      <c r="AJ615" s="242"/>
      <c r="AK615" s="242"/>
      <c r="AL615" s="242"/>
      <c r="AM615" s="242"/>
      <c r="AN615" s="241"/>
      <c r="AO615" s="242"/>
      <c r="AP615" s="242"/>
      <c r="AQ615" s="242"/>
      <c r="AR615" s="242"/>
      <c r="AS615" s="242"/>
      <c r="AT615" s="242"/>
      <c r="AU615" s="242"/>
      <c r="AV615" s="242"/>
      <c r="AW615" s="242"/>
      <c r="AX615" s="242"/>
      <c r="AY615" s="242"/>
      <c r="AZ615" s="242"/>
      <c r="BA615" s="242"/>
      <c r="BB615" s="237"/>
      <c r="BC615" s="242"/>
      <c r="BD615" s="242"/>
      <c r="BE615" s="242"/>
      <c r="BF615" s="242"/>
      <c r="BG615" s="242"/>
      <c r="BH615" s="242"/>
      <c r="BI615" s="242"/>
      <c r="BJ615" s="242"/>
      <c r="BK615" s="242"/>
      <c r="BL615" s="242"/>
      <c r="BM615" s="242"/>
      <c r="BN615" s="242"/>
      <c r="BO615" s="242"/>
      <c r="BP615" s="242"/>
    </row>
    <row r="616" spans="1:68" ht="14.25" hidden="1" customHeight="1" outlineLevel="1">
      <c r="A616" s="233"/>
      <c r="B616" s="237"/>
      <c r="C616" s="237"/>
      <c r="D616" s="237"/>
      <c r="E616" s="242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34"/>
      <c r="T616" s="242"/>
      <c r="U616" s="242"/>
      <c r="V616" s="242"/>
      <c r="W616" s="242"/>
      <c r="X616" s="242"/>
      <c r="Y616" s="242"/>
      <c r="Z616" s="242"/>
      <c r="AA616" s="242"/>
      <c r="AB616" s="242"/>
      <c r="AC616" s="242"/>
      <c r="AD616" s="242"/>
      <c r="AE616" s="242"/>
      <c r="AF616" s="242"/>
      <c r="AG616" s="242"/>
      <c r="AH616" s="242"/>
      <c r="AI616" s="242"/>
      <c r="AJ616" s="242"/>
      <c r="AK616" s="242"/>
      <c r="AL616" s="242"/>
      <c r="AM616" s="242"/>
      <c r="AN616" s="241"/>
      <c r="AO616" s="242"/>
      <c r="AP616" s="242"/>
      <c r="AQ616" s="242"/>
      <c r="AR616" s="242"/>
      <c r="AS616" s="242"/>
      <c r="AT616" s="242"/>
      <c r="AU616" s="242"/>
      <c r="AV616" s="242"/>
      <c r="AW616" s="242"/>
      <c r="AX616" s="242"/>
      <c r="AY616" s="242"/>
      <c r="AZ616" s="242"/>
      <c r="BA616" s="242"/>
      <c r="BB616" s="237"/>
      <c r="BC616" s="242"/>
      <c r="BD616" s="242"/>
      <c r="BE616" s="242"/>
      <c r="BF616" s="242"/>
      <c r="BG616" s="242"/>
      <c r="BH616" s="242"/>
      <c r="BI616" s="242"/>
      <c r="BJ616" s="242"/>
      <c r="BK616" s="242"/>
      <c r="BL616" s="242"/>
      <c r="BM616" s="242"/>
      <c r="BN616" s="242"/>
      <c r="BO616" s="242"/>
      <c r="BP616" s="242"/>
    </row>
    <row r="617" spans="1:68" ht="14.25" hidden="1" customHeight="1" outlineLevel="1">
      <c r="A617" s="233"/>
      <c r="B617" s="237"/>
      <c r="C617" s="237"/>
      <c r="D617" s="237"/>
      <c r="E617" s="242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34"/>
      <c r="T617" s="242"/>
      <c r="U617" s="242"/>
      <c r="V617" s="242"/>
      <c r="W617" s="242"/>
      <c r="X617" s="242"/>
      <c r="Y617" s="242"/>
      <c r="Z617" s="242"/>
      <c r="AA617" s="242"/>
      <c r="AB617" s="242"/>
      <c r="AC617" s="242"/>
      <c r="AD617" s="242"/>
      <c r="AE617" s="242"/>
      <c r="AF617" s="242"/>
      <c r="AG617" s="242"/>
      <c r="AH617" s="242"/>
      <c r="AI617" s="242"/>
      <c r="AJ617" s="242"/>
      <c r="AK617" s="242"/>
      <c r="AL617" s="242"/>
      <c r="AM617" s="242"/>
      <c r="AN617" s="241"/>
      <c r="AO617" s="242"/>
      <c r="AP617" s="242"/>
      <c r="AQ617" s="242"/>
      <c r="AR617" s="242"/>
      <c r="AS617" s="242"/>
      <c r="AT617" s="242"/>
      <c r="AU617" s="242"/>
      <c r="AV617" s="242"/>
      <c r="AW617" s="242"/>
      <c r="AX617" s="242"/>
      <c r="AY617" s="242"/>
      <c r="AZ617" s="242"/>
      <c r="BA617" s="242"/>
      <c r="BB617" s="237"/>
      <c r="BC617" s="242"/>
      <c r="BD617" s="242"/>
      <c r="BE617" s="242"/>
      <c r="BF617" s="242"/>
      <c r="BG617" s="242"/>
      <c r="BH617" s="242"/>
      <c r="BI617" s="242"/>
      <c r="BJ617" s="242"/>
      <c r="BK617" s="242"/>
      <c r="BL617" s="242"/>
      <c r="BM617" s="242"/>
      <c r="BN617" s="242"/>
      <c r="BO617" s="242"/>
      <c r="BP617" s="242"/>
    </row>
    <row r="618" spans="1:68" ht="14.25" hidden="1" customHeight="1" outlineLevel="1">
      <c r="A618" s="233"/>
      <c r="B618" s="237"/>
      <c r="C618" s="237"/>
      <c r="D618" s="237"/>
      <c r="E618" s="242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34"/>
      <c r="T618" s="242"/>
      <c r="U618" s="242"/>
      <c r="V618" s="242"/>
      <c r="W618" s="242"/>
      <c r="X618" s="242"/>
      <c r="Y618" s="242"/>
      <c r="Z618" s="242"/>
      <c r="AA618" s="242"/>
      <c r="AB618" s="242"/>
      <c r="AC618" s="242"/>
      <c r="AD618" s="242"/>
      <c r="AE618" s="242"/>
      <c r="AF618" s="242"/>
      <c r="AG618" s="242"/>
      <c r="AH618" s="242"/>
      <c r="AI618" s="242"/>
      <c r="AJ618" s="242"/>
      <c r="AK618" s="242"/>
      <c r="AL618" s="242"/>
      <c r="AM618" s="242"/>
      <c r="AN618" s="241"/>
      <c r="AO618" s="242"/>
      <c r="AP618" s="242"/>
      <c r="AQ618" s="242"/>
      <c r="AR618" s="242"/>
      <c r="AS618" s="242"/>
      <c r="AT618" s="242"/>
      <c r="AU618" s="242"/>
      <c r="AV618" s="242"/>
      <c r="AW618" s="242"/>
      <c r="AX618" s="242"/>
      <c r="AY618" s="242"/>
      <c r="AZ618" s="242"/>
      <c r="BA618" s="242"/>
      <c r="BB618" s="237"/>
      <c r="BC618" s="242"/>
      <c r="BD618" s="242"/>
      <c r="BE618" s="242"/>
      <c r="BF618" s="242"/>
      <c r="BG618" s="242"/>
      <c r="BH618" s="242"/>
      <c r="BI618" s="242"/>
      <c r="BJ618" s="242"/>
      <c r="BK618" s="242"/>
      <c r="BL618" s="242"/>
      <c r="BM618" s="242"/>
      <c r="BN618" s="242"/>
      <c r="BO618" s="242"/>
      <c r="BP618" s="242"/>
    </row>
    <row r="619" spans="1:68" ht="14.25" hidden="1" customHeight="1" outlineLevel="1">
      <c r="A619" s="233"/>
      <c r="B619" s="237"/>
      <c r="C619" s="237"/>
      <c r="D619" s="237"/>
      <c r="E619" s="242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34"/>
      <c r="T619" s="242"/>
      <c r="U619" s="242"/>
      <c r="V619" s="242"/>
      <c r="W619" s="242"/>
      <c r="X619" s="242"/>
      <c r="Y619" s="242"/>
      <c r="Z619" s="242"/>
      <c r="AA619" s="242"/>
      <c r="AB619" s="242"/>
      <c r="AC619" s="242"/>
      <c r="AD619" s="242"/>
      <c r="AE619" s="242"/>
      <c r="AF619" s="242"/>
      <c r="AG619" s="242"/>
      <c r="AH619" s="242"/>
      <c r="AI619" s="242"/>
      <c r="AJ619" s="242"/>
      <c r="AK619" s="242"/>
      <c r="AL619" s="242"/>
      <c r="AM619" s="242"/>
      <c r="AN619" s="241"/>
      <c r="AO619" s="242"/>
      <c r="AP619" s="242"/>
      <c r="AQ619" s="242"/>
      <c r="AR619" s="242"/>
      <c r="AS619" s="242"/>
      <c r="AT619" s="242"/>
      <c r="AU619" s="242"/>
      <c r="AV619" s="242"/>
      <c r="AW619" s="242"/>
      <c r="AX619" s="242"/>
      <c r="AY619" s="242"/>
      <c r="AZ619" s="242"/>
      <c r="BA619" s="242"/>
      <c r="BB619" s="237"/>
      <c r="BC619" s="242"/>
      <c r="BD619" s="242"/>
      <c r="BE619" s="242"/>
      <c r="BF619" s="242"/>
      <c r="BG619" s="242"/>
      <c r="BH619" s="242"/>
      <c r="BI619" s="242"/>
      <c r="BJ619" s="242"/>
      <c r="BK619" s="242"/>
      <c r="BL619" s="242"/>
      <c r="BM619" s="242"/>
      <c r="BN619" s="242"/>
      <c r="BO619" s="242"/>
      <c r="BP619" s="242"/>
    </row>
    <row r="620" spans="1:68" ht="14.25" hidden="1" customHeight="1" outlineLevel="1">
      <c r="A620" s="233"/>
      <c r="B620" s="237"/>
      <c r="C620" s="237"/>
      <c r="D620" s="237"/>
      <c r="E620" s="242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34"/>
      <c r="T620" s="242"/>
      <c r="U620" s="242"/>
      <c r="V620" s="242"/>
      <c r="W620" s="242"/>
      <c r="X620" s="242"/>
      <c r="Y620" s="242"/>
      <c r="Z620" s="242"/>
      <c r="AA620" s="242"/>
      <c r="AB620" s="242"/>
      <c r="AC620" s="242"/>
      <c r="AD620" s="242"/>
      <c r="AE620" s="242"/>
      <c r="AF620" s="242"/>
      <c r="AG620" s="242"/>
      <c r="AH620" s="242"/>
      <c r="AI620" s="242"/>
      <c r="AJ620" s="242"/>
      <c r="AK620" s="242"/>
      <c r="AL620" s="242"/>
      <c r="AM620" s="242"/>
      <c r="AN620" s="241"/>
      <c r="AO620" s="242"/>
      <c r="AP620" s="242"/>
      <c r="AQ620" s="242"/>
      <c r="AR620" s="242"/>
      <c r="AS620" s="242"/>
      <c r="AT620" s="242"/>
      <c r="AU620" s="242"/>
      <c r="AV620" s="242"/>
      <c r="AW620" s="242"/>
      <c r="AX620" s="242"/>
      <c r="AY620" s="242"/>
      <c r="AZ620" s="242"/>
      <c r="BA620" s="242"/>
      <c r="BB620" s="237"/>
      <c r="BC620" s="242"/>
      <c r="BD620" s="242"/>
      <c r="BE620" s="242"/>
      <c r="BF620" s="242"/>
      <c r="BG620" s="242"/>
      <c r="BH620" s="242"/>
      <c r="BI620" s="242"/>
      <c r="BJ620" s="242"/>
      <c r="BK620" s="242"/>
      <c r="BL620" s="242"/>
      <c r="BM620" s="242"/>
      <c r="BN620" s="242"/>
      <c r="BO620" s="242"/>
      <c r="BP620" s="242"/>
    </row>
    <row r="621" spans="1:68" ht="14.25" hidden="1" customHeight="1" outlineLevel="1">
      <c r="A621" s="233"/>
      <c r="B621" s="237"/>
      <c r="C621" s="237"/>
      <c r="D621" s="237"/>
      <c r="E621" s="242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34"/>
      <c r="T621" s="242"/>
      <c r="U621" s="242"/>
      <c r="V621" s="242"/>
      <c r="W621" s="242"/>
      <c r="X621" s="242"/>
      <c r="Y621" s="242"/>
      <c r="Z621" s="242"/>
      <c r="AA621" s="242"/>
      <c r="AB621" s="242"/>
      <c r="AC621" s="242"/>
      <c r="AD621" s="242"/>
      <c r="AE621" s="242"/>
      <c r="AF621" s="242"/>
      <c r="AG621" s="242"/>
      <c r="AH621" s="242"/>
      <c r="AI621" s="242"/>
      <c r="AJ621" s="242"/>
      <c r="AK621" s="242"/>
      <c r="AL621" s="242"/>
      <c r="AM621" s="242"/>
      <c r="AN621" s="241"/>
      <c r="AO621" s="242"/>
      <c r="AP621" s="242"/>
      <c r="AQ621" s="242"/>
      <c r="AR621" s="242"/>
      <c r="AS621" s="242"/>
      <c r="AT621" s="242"/>
      <c r="AU621" s="242"/>
      <c r="AV621" s="242"/>
      <c r="AW621" s="242"/>
      <c r="AX621" s="242"/>
      <c r="AY621" s="242"/>
      <c r="AZ621" s="242"/>
      <c r="BA621" s="242"/>
      <c r="BB621" s="237"/>
      <c r="BC621" s="242"/>
      <c r="BD621" s="242"/>
      <c r="BE621" s="242"/>
      <c r="BF621" s="242"/>
      <c r="BG621" s="242"/>
      <c r="BH621" s="242"/>
      <c r="BI621" s="242"/>
      <c r="BJ621" s="242"/>
      <c r="BK621" s="242"/>
      <c r="BL621" s="242"/>
      <c r="BM621" s="242"/>
      <c r="BN621" s="242"/>
      <c r="BO621" s="242"/>
      <c r="BP621" s="242"/>
    </row>
    <row r="622" spans="1:68" ht="14.25" hidden="1" customHeight="1" outlineLevel="1">
      <c r="A622" s="233"/>
      <c r="B622" s="237"/>
      <c r="C622" s="237"/>
      <c r="D622" s="237"/>
      <c r="E622" s="242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34"/>
      <c r="T622" s="242"/>
      <c r="U622" s="242"/>
      <c r="V622" s="242"/>
      <c r="W622" s="242"/>
      <c r="X622" s="242"/>
      <c r="Y622" s="242"/>
      <c r="Z622" s="242"/>
      <c r="AA622" s="242"/>
      <c r="AB622" s="242"/>
      <c r="AC622" s="242"/>
      <c r="AD622" s="242"/>
      <c r="AE622" s="242"/>
      <c r="AF622" s="242"/>
      <c r="AG622" s="242"/>
      <c r="AH622" s="242"/>
      <c r="AI622" s="242"/>
      <c r="AJ622" s="242"/>
      <c r="AK622" s="242"/>
      <c r="AL622" s="242"/>
      <c r="AM622" s="242"/>
      <c r="AN622" s="241"/>
      <c r="AO622" s="242"/>
      <c r="AP622" s="242"/>
      <c r="AQ622" s="242"/>
      <c r="AR622" s="242"/>
      <c r="AS622" s="242"/>
      <c r="AT622" s="242"/>
      <c r="AU622" s="242"/>
      <c r="AV622" s="242"/>
      <c r="AW622" s="242"/>
      <c r="AX622" s="242"/>
      <c r="AY622" s="242"/>
      <c r="AZ622" s="242"/>
      <c r="BA622" s="242"/>
      <c r="BB622" s="237"/>
      <c r="BC622" s="242"/>
      <c r="BD622" s="242"/>
      <c r="BE622" s="242"/>
      <c r="BF622" s="242"/>
      <c r="BG622" s="242"/>
      <c r="BH622" s="242"/>
      <c r="BI622" s="242"/>
      <c r="BJ622" s="242"/>
      <c r="BK622" s="242"/>
      <c r="BL622" s="242"/>
      <c r="BM622" s="242"/>
      <c r="BN622" s="242"/>
      <c r="BO622" s="242"/>
      <c r="BP622" s="242"/>
    </row>
    <row r="623" spans="1:68" ht="14.25" hidden="1" customHeight="1" outlineLevel="1">
      <c r="A623" s="233"/>
      <c r="B623" s="237"/>
      <c r="C623" s="237"/>
      <c r="D623" s="237"/>
      <c r="E623" s="242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34"/>
      <c r="T623" s="242"/>
      <c r="U623" s="242"/>
      <c r="V623" s="242"/>
      <c r="W623" s="242"/>
      <c r="X623" s="242"/>
      <c r="Y623" s="242"/>
      <c r="Z623" s="242"/>
      <c r="AA623" s="242"/>
      <c r="AB623" s="242"/>
      <c r="AC623" s="242"/>
      <c r="AD623" s="242"/>
      <c r="AE623" s="242"/>
      <c r="AF623" s="242"/>
      <c r="AG623" s="242"/>
      <c r="AH623" s="242"/>
      <c r="AI623" s="242"/>
      <c r="AJ623" s="242"/>
      <c r="AK623" s="242"/>
      <c r="AL623" s="242"/>
      <c r="AM623" s="242"/>
      <c r="AN623" s="241"/>
      <c r="AO623" s="242"/>
      <c r="AP623" s="242"/>
      <c r="AQ623" s="242"/>
      <c r="AR623" s="242"/>
      <c r="AS623" s="242"/>
      <c r="AT623" s="242"/>
      <c r="AU623" s="242"/>
      <c r="AV623" s="242"/>
      <c r="AW623" s="242"/>
      <c r="AX623" s="242"/>
      <c r="AY623" s="242"/>
      <c r="AZ623" s="242"/>
      <c r="BA623" s="242"/>
      <c r="BB623" s="237"/>
      <c r="BC623" s="242"/>
      <c r="BD623" s="242"/>
      <c r="BE623" s="242"/>
      <c r="BF623" s="242"/>
      <c r="BG623" s="242"/>
      <c r="BH623" s="242"/>
      <c r="BI623" s="242"/>
      <c r="BJ623" s="242"/>
      <c r="BK623" s="242"/>
      <c r="BL623" s="242"/>
      <c r="BM623" s="242"/>
      <c r="BN623" s="242"/>
      <c r="BO623" s="242"/>
      <c r="BP623" s="242"/>
    </row>
    <row r="624" spans="1:68" ht="14.25" hidden="1" customHeight="1" outlineLevel="1">
      <c r="A624" s="233"/>
      <c r="B624" s="237"/>
      <c r="C624" s="237"/>
      <c r="D624" s="237"/>
      <c r="E624" s="242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34"/>
      <c r="T624" s="242"/>
      <c r="U624" s="242"/>
      <c r="V624" s="242"/>
      <c r="W624" s="242"/>
      <c r="X624" s="242"/>
      <c r="Y624" s="242"/>
      <c r="Z624" s="242"/>
      <c r="AA624" s="242"/>
      <c r="AB624" s="242"/>
      <c r="AC624" s="242"/>
      <c r="AD624" s="242"/>
      <c r="AE624" s="242"/>
      <c r="AF624" s="242"/>
      <c r="AG624" s="242"/>
      <c r="AH624" s="242"/>
      <c r="AI624" s="242"/>
      <c r="AJ624" s="242"/>
      <c r="AK624" s="242"/>
      <c r="AL624" s="242"/>
      <c r="AM624" s="242"/>
      <c r="AN624" s="241"/>
      <c r="AO624" s="242"/>
      <c r="AP624" s="242"/>
      <c r="AQ624" s="242"/>
      <c r="AR624" s="242"/>
      <c r="AS624" s="242"/>
      <c r="AT624" s="242"/>
      <c r="AU624" s="242"/>
      <c r="AV624" s="242"/>
      <c r="AW624" s="242"/>
      <c r="AX624" s="242"/>
      <c r="AY624" s="242"/>
      <c r="AZ624" s="242"/>
      <c r="BA624" s="242"/>
      <c r="BB624" s="237"/>
      <c r="BC624" s="242"/>
      <c r="BD624" s="242"/>
      <c r="BE624" s="242"/>
      <c r="BF624" s="242"/>
      <c r="BG624" s="242"/>
      <c r="BH624" s="242"/>
      <c r="BI624" s="242"/>
      <c r="BJ624" s="242"/>
      <c r="BK624" s="242"/>
      <c r="BL624" s="242"/>
      <c r="BM624" s="242"/>
      <c r="BN624" s="242"/>
      <c r="BO624" s="242"/>
      <c r="BP624" s="242"/>
    </row>
    <row r="625" spans="1:68" ht="14.25" hidden="1" customHeight="1" outlineLevel="1">
      <c r="A625" s="233"/>
      <c r="B625" s="237"/>
      <c r="C625" s="237"/>
      <c r="D625" s="237"/>
      <c r="E625" s="242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34"/>
      <c r="T625" s="242"/>
      <c r="U625" s="242"/>
      <c r="V625" s="242"/>
      <c r="W625" s="242"/>
      <c r="X625" s="242"/>
      <c r="Y625" s="242"/>
      <c r="Z625" s="242"/>
      <c r="AA625" s="242"/>
      <c r="AB625" s="242"/>
      <c r="AC625" s="242"/>
      <c r="AD625" s="242"/>
      <c r="AE625" s="242"/>
      <c r="AF625" s="242"/>
      <c r="AG625" s="242"/>
      <c r="AH625" s="242"/>
      <c r="AI625" s="242"/>
      <c r="AJ625" s="242"/>
      <c r="AK625" s="242"/>
      <c r="AL625" s="242"/>
      <c r="AM625" s="242"/>
      <c r="AN625" s="241"/>
      <c r="AO625" s="242"/>
      <c r="AP625" s="242"/>
      <c r="AQ625" s="242"/>
      <c r="AR625" s="242"/>
      <c r="AS625" s="242"/>
      <c r="AT625" s="242"/>
      <c r="AU625" s="242"/>
      <c r="AV625" s="242"/>
      <c r="AW625" s="242"/>
      <c r="AX625" s="242"/>
      <c r="AY625" s="242"/>
      <c r="AZ625" s="242"/>
      <c r="BA625" s="242"/>
      <c r="BB625" s="237"/>
      <c r="BC625" s="242"/>
      <c r="BD625" s="242"/>
      <c r="BE625" s="242"/>
      <c r="BF625" s="242"/>
      <c r="BG625" s="242"/>
      <c r="BH625" s="242"/>
      <c r="BI625" s="242"/>
      <c r="BJ625" s="242"/>
      <c r="BK625" s="242"/>
      <c r="BL625" s="242"/>
      <c r="BM625" s="242"/>
      <c r="BN625" s="242"/>
      <c r="BO625" s="242"/>
      <c r="BP625" s="242"/>
    </row>
    <row r="626" spans="1:68" ht="14.25" hidden="1" customHeight="1" outlineLevel="1">
      <c r="A626" s="233"/>
      <c r="B626" s="237"/>
      <c r="C626" s="237"/>
      <c r="D626" s="237"/>
      <c r="E626" s="242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34"/>
      <c r="T626" s="242"/>
      <c r="U626" s="242"/>
      <c r="V626" s="242"/>
      <c r="W626" s="242"/>
      <c r="X626" s="242"/>
      <c r="Y626" s="242"/>
      <c r="Z626" s="242"/>
      <c r="AA626" s="242"/>
      <c r="AB626" s="242"/>
      <c r="AC626" s="242"/>
      <c r="AD626" s="242"/>
      <c r="AE626" s="242"/>
      <c r="AF626" s="242"/>
      <c r="AG626" s="242"/>
      <c r="AH626" s="242"/>
      <c r="AI626" s="242"/>
      <c r="AJ626" s="242"/>
      <c r="AK626" s="242"/>
      <c r="AL626" s="242"/>
      <c r="AM626" s="242"/>
      <c r="AN626" s="241"/>
      <c r="AO626" s="242"/>
      <c r="AP626" s="242"/>
      <c r="AQ626" s="242"/>
      <c r="AR626" s="242"/>
      <c r="AS626" s="242"/>
      <c r="AT626" s="242"/>
      <c r="AU626" s="242"/>
      <c r="AV626" s="242"/>
      <c r="AW626" s="242"/>
      <c r="AX626" s="242"/>
      <c r="AY626" s="242"/>
      <c r="AZ626" s="242"/>
      <c r="BA626" s="242"/>
      <c r="BB626" s="237"/>
      <c r="BC626" s="242"/>
      <c r="BD626" s="242"/>
      <c r="BE626" s="242"/>
      <c r="BF626" s="242"/>
      <c r="BG626" s="242"/>
      <c r="BH626" s="242"/>
      <c r="BI626" s="242"/>
      <c r="BJ626" s="242"/>
      <c r="BK626" s="242"/>
      <c r="BL626" s="242"/>
      <c r="BM626" s="242"/>
      <c r="BN626" s="242"/>
      <c r="BO626" s="242"/>
      <c r="BP626" s="242"/>
    </row>
    <row r="627" spans="1:68" ht="14.25" hidden="1" customHeight="1" outlineLevel="1">
      <c r="A627" s="233"/>
      <c r="B627" s="237"/>
      <c r="C627" s="237"/>
      <c r="D627" s="237"/>
      <c r="E627" s="242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34"/>
      <c r="T627" s="242"/>
      <c r="U627" s="242"/>
      <c r="V627" s="242"/>
      <c r="W627" s="242"/>
      <c r="X627" s="242"/>
      <c r="Y627" s="242"/>
      <c r="Z627" s="242"/>
      <c r="AA627" s="242"/>
      <c r="AB627" s="242"/>
      <c r="AC627" s="242"/>
      <c r="AD627" s="242"/>
      <c r="AE627" s="242"/>
      <c r="AF627" s="242"/>
      <c r="AG627" s="242"/>
      <c r="AH627" s="242"/>
      <c r="AI627" s="242"/>
      <c r="AJ627" s="242"/>
      <c r="AK627" s="242"/>
      <c r="AL627" s="242"/>
      <c r="AM627" s="242"/>
      <c r="AN627" s="241"/>
      <c r="AO627" s="242"/>
      <c r="AP627" s="242"/>
      <c r="AQ627" s="242"/>
      <c r="AR627" s="242"/>
      <c r="AS627" s="242"/>
      <c r="AT627" s="242"/>
      <c r="AU627" s="242"/>
      <c r="AV627" s="242"/>
      <c r="AW627" s="242"/>
      <c r="AX627" s="242"/>
      <c r="AY627" s="242"/>
      <c r="AZ627" s="242"/>
      <c r="BA627" s="242"/>
      <c r="BB627" s="237"/>
      <c r="BC627" s="242"/>
      <c r="BD627" s="242"/>
      <c r="BE627" s="242"/>
      <c r="BF627" s="242"/>
      <c r="BG627" s="242"/>
      <c r="BH627" s="242"/>
      <c r="BI627" s="242"/>
      <c r="BJ627" s="242"/>
      <c r="BK627" s="242"/>
      <c r="BL627" s="242"/>
      <c r="BM627" s="242"/>
      <c r="BN627" s="242"/>
      <c r="BO627" s="242"/>
      <c r="BP627" s="242"/>
    </row>
    <row r="628" spans="1:68" ht="14.25" hidden="1" customHeight="1" outlineLevel="1">
      <c r="A628" s="233"/>
      <c r="B628" s="237"/>
      <c r="C628" s="237"/>
      <c r="D628" s="237"/>
      <c r="E628" s="242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34"/>
      <c r="T628" s="242"/>
      <c r="U628" s="242"/>
      <c r="V628" s="242"/>
      <c r="W628" s="242"/>
      <c r="X628" s="242"/>
      <c r="Y628" s="242"/>
      <c r="Z628" s="242"/>
      <c r="AA628" s="242"/>
      <c r="AB628" s="242"/>
      <c r="AC628" s="242"/>
      <c r="AD628" s="242"/>
      <c r="AE628" s="242"/>
      <c r="AF628" s="242"/>
      <c r="AG628" s="242"/>
      <c r="AH628" s="242"/>
      <c r="AI628" s="242"/>
      <c r="AJ628" s="242"/>
      <c r="AK628" s="242"/>
      <c r="AL628" s="242"/>
      <c r="AM628" s="242"/>
      <c r="AN628" s="241"/>
      <c r="AO628" s="242"/>
      <c r="AP628" s="242"/>
      <c r="AQ628" s="242"/>
      <c r="AR628" s="242"/>
      <c r="AS628" s="242"/>
      <c r="AT628" s="242"/>
      <c r="AU628" s="242"/>
      <c r="AV628" s="242"/>
      <c r="AW628" s="242"/>
      <c r="AX628" s="242"/>
      <c r="AY628" s="242"/>
      <c r="AZ628" s="242"/>
      <c r="BA628" s="242"/>
      <c r="BB628" s="237"/>
      <c r="BC628" s="242"/>
      <c r="BD628" s="242"/>
      <c r="BE628" s="242"/>
      <c r="BF628" s="242"/>
      <c r="BG628" s="242"/>
      <c r="BH628" s="242"/>
      <c r="BI628" s="242"/>
      <c r="BJ628" s="242"/>
      <c r="BK628" s="242"/>
      <c r="BL628" s="242"/>
      <c r="BM628" s="242"/>
      <c r="BN628" s="242"/>
      <c r="BO628" s="242"/>
      <c r="BP628" s="242"/>
    </row>
    <row r="629" spans="1:68" ht="14.25" hidden="1" customHeight="1" outlineLevel="1">
      <c r="A629" s="233"/>
      <c r="B629" s="237"/>
      <c r="C629" s="237"/>
      <c r="D629" s="237"/>
      <c r="E629" s="242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34"/>
      <c r="T629" s="242"/>
      <c r="U629" s="242"/>
      <c r="V629" s="242"/>
      <c r="W629" s="242"/>
      <c r="X629" s="242"/>
      <c r="Y629" s="242"/>
      <c r="Z629" s="242"/>
      <c r="AA629" s="242"/>
      <c r="AB629" s="242"/>
      <c r="AC629" s="242"/>
      <c r="AD629" s="242"/>
      <c r="AE629" s="242"/>
      <c r="AF629" s="242"/>
      <c r="AG629" s="242"/>
      <c r="AH629" s="242"/>
      <c r="AI629" s="242"/>
      <c r="AJ629" s="242"/>
      <c r="AK629" s="242"/>
      <c r="AL629" s="242"/>
      <c r="AM629" s="242"/>
      <c r="AN629" s="241"/>
      <c r="AO629" s="242"/>
      <c r="AP629" s="242"/>
      <c r="AQ629" s="242"/>
      <c r="AR629" s="242"/>
      <c r="AS629" s="242"/>
      <c r="AT629" s="242"/>
      <c r="AU629" s="242"/>
      <c r="AV629" s="242"/>
      <c r="AW629" s="242"/>
      <c r="AX629" s="242"/>
      <c r="AY629" s="242"/>
      <c r="AZ629" s="242"/>
      <c r="BA629" s="242"/>
      <c r="BB629" s="237"/>
      <c r="BC629" s="242"/>
      <c r="BD629" s="242"/>
      <c r="BE629" s="242"/>
      <c r="BF629" s="242"/>
      <c r="BG629" s="242"/>
      <c r="BH629" s="242"/>
      <c r="BI629" s="242"/>
      <c r="BJ629" s="242"/>
      <c r="BK629" s="242"/>
      <c r="BL629" s="242"/>
      <c r="BM629" s="242"/>
      <c r="BN629" s="242"/>
      <c r="BO629" s="242"/>
      <c r="BP629" s="242"/>
    </row>
    <row r="630" spans="1:68" ht="14.25" hidden="1" customHeight="1" outlineLevel="1">
      <c r="A630" s="233"/>
      <c r="B630" s="237"/>
      <c r="C630" s="237"/>
      <c r="D630" s="237"/>
      <c r="E630" s="242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34"/>
      <c r="T630" s="242"/>
      <c r="U630" s="242"/>
      <c r="V630" s="242"/>
      <c r="W630" s="242"/>
      <c r="X630" s="242"/>
      <c r="Y630" s="242"/>
      <c r="Z630" s="242"/>
      <c r="AA630" s="242"/>
      <c r="AB630" s="242"/>
      <c r="AC630" s="242"/>
      <c r="AD630" s="242"/>
      <c r="AE630" s="242"/>
      <c r="AF630" s="242"/>
      <c r="AG630" s="242"/>
      <c r="AH630" s="242"/>
      <c r="AI630" s="242"/>
      <c r="AJ630" s="242"/>
      <c r="AK630" s="242"/>
      <c r="AL630" s="242"/>
      <c r="AM630" s="242"/>
      <c r="AN630" s="241"/>
      <c r="AO630" s="242"/>
      <c r="AP630" s="242"/>
      <c r="AQ630" s="242"/>
      <c r="AR630" s="242"/>
      <c r="AS630" s="242"/>
      <c r="AT630" s="242"/>
      <c r="AU630" s="242"/>
      <c r="AV630" s="242"/>
      <c r="AW630" s="242"/>
      <c r="AX630" s="242"/>
      <c r="AY630" s="242"/>
      <c r="AZ630" s="242"/>
      <c r="BA630" s="242"/>
      <c r="BB630" s="237"/>
      <c r="BC630" s="242"/>
      <c r="BD630" s="242"/>
      <c r="BE630" s="242"/>
      <c r="BF630" s="242"/>
      <c r="BG630" s="242"/>
      <c r="BH630" s="242"/>
      <c r="BI630" s="242"/>
      <c r="BJ630" s="242"/>
      <c r="BK630" s="242"/>
      <c r="BL630" s="242"/>
      <c r="BM630" s="242"/>
      <c r="BN630" s="242"/>
      <c r="BO630" s="242"/>
      <c r="BP630" s="242"/>
    </row>
    <row r="631" spans="1:68" ht="14.25" hidden="1" customHeight="1" outlineLevel="1">
      <c r="A631" s="233"/>
      <c r="B631" s="237"/>
      <c r="C631" s="237"/>
      <c r="D631" s="237"/>
      <c r="E631" s="242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34"/>
      <c r="T631" s="242"/>
      <c r="U631" s="242"/>
      <c r="V631" s="242"/>
      <c r="W631" s="242"/>
      <c r="X631" s="242"/>
      <c r="Y631" s="242"/>
      <c r="Z631" s="242"/>
      <c r="AA631" s="242"/>
      <c r="AB631" s="242"/>
      <c r="AC631" s="242"/>
      <c r="AD631" s="242"/>
      <c r="AE631" s="242"/>
      <c r="AF631" s="242"/>
      <c r="AG631" s="242"/>
      <c r="AH631" s="242"/>
      <c r="AI631" s="242"/>
      <c r="AJ631" s="242"/>
      <c r="AK631" s="242"/>
      <c r="AL631" s="242"/>
      <c r="AM631" s="242"/>
      <c r="AN631" s="241"/>
      <c r="AO631" s="242"/>
      <c r="AP631" s="242"/>
      <c r="AQ631" s="242"/>
      <c r="AR631" s="242"/>
      <c r="AS631" s="242"/>
      <c r="AT631" s="242"/>
      <c r="AU631" s="242"/>
      <c r="AV631" s="242"/>
      <c r="AW631" s="242"/>
      <c r="AX631" s="242"/>
      <c r="AY631" s="242"/>
      <c r="AZ631" s="242"/>
      <c r="BA631" s="242"/>
      <c r="BB631" s="237"/>
      <c r="BC631" s="242"/>
      <c r="BD631" s="242"/>
      <c r="BE631" s="242"/>
      <c r="BF631" s="242"/>
      <c r="BG631" s="242"/>
      <c r="BH631" s="242"/>
      <c r="BI631" s="242"/>
      <c r="BJ631" s="242"/>
      <c r="BK631" s="242"/>
      <c r="BL631" s="242"/>
      <c r="BM631" s="242"/>
      <c r="BN631" s="242"/>
      <c r="BO631" s="242"/>
      <c r="BP631" s="242"/>
    </row>
    <row r="632" spans="1:68" ht="14.25" hidden="1" customHeight="1" outlineLevel="1">
      <c r="A632" s="233"/>
      <c r="B632" s="237"/>
      <c r="C632" s="237"/>
      <c r="D632" s="237"/>
      <c r="E632" s="242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34"/>
      <c r="T632" s="242"/>
      <c r="U632" s="242"/>
      <c r="V632" s="242"/>
      <c r="W632" s="242"/>
      <c r="X632" s="242"/>
      <c r="Y632" s="242"/>
      <c r="Z632" s="242"/>
      <c r="AA632" s="242"/>
      <c r="AB632" s="242"/>
      <c r="AC632" s="242"/>
      <c r="AD632" s="242"/>
      <c r="AE632" s="242"/>
      <c r="AF632" s="242"/>
      <c r="AG632" s="242"/>
      <c r="AH632" s="242"/>
      <c r="AI632" s="242"/>
      <c r="AJ632" s="242"/>
      <c r="AK632" s="242"/>
      <c r="AL632" s="242"/>
      <c r="AM632" s="242"/>
      <c r="AN632" s="241"/>
      <c r="AO632" s="242"/>
      <c r="AP632" s="242"/>
      <c r="AQ632" s="242"/>
      <c r="AR632" s="242"/>
      <c r="AS632" s="242"/>
      <c r="AT632" s="242"/>
      <c r="AU632" s="242"/>
      <c r="AV632" s="242"/>
      <c r="AW632" s="242"/>
      <c r="AX632" s="242"/>
      <c r="AY632" s="242"/>
      <c r="AZ632" s="242"/>
      <c r="BA632" s="242"/>
      <c r="BB632" s="237"/>
      <c r="BC632" s="242"/>
      <c r="BD632" s="242"/>
      <c r="BE632" s="242"/>
      <c r="BF632" s="242"/>
      <c r="BG632" s="242"/>
      <c r="BH632" s="242"/>
      <c r="BI632" s="242"/>
      <c r="BJ632" s="242"/>
      <c r="BK632" s="242"/>
      <c r="BL632" s="242"/>
      <c r="BM632" s="242"/>
      <c r="BN632" s="242"/>
      <c r="BO632" s="242"/>
      <c r="BP632" s="242"/>
    </row>
    <row r="633" spans="1:68" ht="14.25" hidden="1" customHeight="1" outlineLevel="1">
      <c r="A633" s="233"/>
      <c r="B633" s="237"/>
      <c r="C633" s="237"/>
      <c r="D633" s="237"/>
      <c r="E633" s="242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34"/>
      <c r="T633" s="242"/>
      <c r="U633" s="242"/>
      <c r="V633" s="242"/>
      <c r="W633" s="242"/>
      <c r="X633" s="242"/>
      <c r="Y633" s="242"/>
      <c r="Z633" s="242"/>
      <c r="AA633" s="242"/>
      <c r="AB633" s="242"/>
      <c r="AC633" s="242"/>
      <c r="AD633" s="242"/>
      <c r="AE633" s="242"/>
      <c r="AF633" s="242"/>
      <c r="AG633" s="242"/>
      <c r="AH633" s="242"/>
      <c r="AI633" s="242"/>
      <c r="AJ633" s="242"/>
      <c r="AK633" s="242"/>
      <c r="AL633" s="242"/>
      <c r="AM633" s="242"/>
      <c r="AN633" s="241"/>
      <c r="AO633" s="242"/>
      <c r="AP633" s="242"/>
      <c r="AQ633" s="242"/>
      <c r="AR633" s="242"/>
      <c r="AS633" s="242"/>
      <c r="AT633" s="242"/>
      <c r="AU633" s="242"/>
      <c r="AV633" s="242"/>
      <c r="AW633" s="242"/>
      <c r="AX633" s="242"/>
      <c r="AY633" s="242"/>
      <c r="AZ633" s="242"/>
      <c r="BA633" s="242"/>
      <c r="BB633" s="237"/>
      <c r="BC633" s="242"/>
      <c r="BD633" s="242"/>
      <c r="BE633" s="242"/>
      <c r="BF633" s="242"/>
      <c r="BG633" s="242"/>
      <c r="BH633" s="242"/>
      <c r="BI633" s="242"/>
      <c r="BJ633" s="242"/>
      <c r="BK633" s="242"/>
      <c r="BL633" s="242"/>
      <c r="BM633" s="242"/>
      <c r="BN633" s="242"/>
      <c r="BO633" s="242"/>
      <c r="BP633" s="242"/>
    </row>
    <row r="634" spans="1:68" ht="14.25" hidden="1" customHeight="1" outlineLevel="1">
      <c r="A634" s="233"/>
      <c r="B634" s="237"/>
      <c r="C634" s="237"/>
      <c r="D634" s="237"/>
      <c r="E634" s="242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34"/>
      <c r="T634" s="242"/>
      <c r="U634" s="242"/>
      <c r="V634" s="242"/>
      <c r="W634" s="242"/>
      <c r="X634" s="242"/>
      <c r="Y634" s="242"/>
      <c r="Z634" s="242"/>
      <c r="AA634" s="242"/>
      <c r="AB634" s="242"/>
      <c r="AC634" s="242"/>
      <c r="AD634" s="242"/>
      <c r="AE634" s="242"/>
      <c r="AF634" s="242"/>
      <c r="AG634" s="242"/>
      <c r="AH634" s="242"/>
      <c r="AI634" s="242"/>
      <c r="AJ634" s="242"/>
      <c r="AK634" s="242"/>
      <c r="AL634" s="242"/>
      <c r="AM634" s="242"/>
      <c r="AN634" s="241"/>
      <c r="AO634" s="242"/>
      <c r="AP634" s="242"/>
      <c r="AQ634" s="242"/>
      <c r="AR634" s="242"/>
      <c r="AS634" s="242"/>
      <c r="AT634" s="242"/>
      <c r="AU634" s="242"/>
      <c r="AV634" s="242"/>
      <c r="AW634" s="242"/>
      <c r="AX634" s="242"/>
      <c r="AY634" s="242"/>
      <c r="AZ634" s="242"/>
      <c r="BA634" s="242"/>
      <c r="BB634" s="237"/>
      <c r="BC634" s="242"/>
      <c r="BD634" s="242"/>
      <c r="BE634" s="242"/>
      <c r="BF634" s="242"/>
      <c r="BG634" s="242"/>
      <c r="BH634" s="242"/>
      <c r="BI634" s="242"/>
      <c r="BJ634" s="242"/>
      <c r="BK634" s="242"/>
      <c r="BL634" s="242"/>
      <c r="BM634" s="242"/>
      <c r="BN634" s="242"/>
      <c r="BO634" s="242"/>
      <c r="BP634" s="242"/>
    </row>
    <row r="635" spans="1:68" ht="14.25" hidden="1" customHeight="1" outlineLevel="1">
      <c r="A635" s="233"/>
      <c r="B635" s="237"/>
      <c r="C635" s="237"/>
      <c r="D635" s="237"/>
      <c r="E635" s="242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34"/>
      <c r="T635" s="242"/>
      <c r="U635" s="242"/>
      <c r="V635" s="242"/>
      <c r="W635" s="242"/>
      <c r="X635" s="242"/>
      <c r="Y635" s="242"/>
      <c r="Z635" s="242"/>
      <c r="AA635" s="242"/>
      <c r="AB635" s="242"/>
      <c r="AC635" s="242"/>
      <c r="AD635" s="242"/>
      <c r="AE635" s="242"/>
      <c r="AF635" s="242"/>
      <c r="AG635" s="242"/>
      <c r="AH635" s="242"/>
      <c r="AI635" s="242"/>
      <c r="AJ635" s="242"/>
      <c r="AK635" s="242"/>
      <c r="AL635" s="242"/>
      <c r="AM635" s="242"/>
      <c r="AN635" s="241"/>
      <c r="AO635" s="242"/>
      <c r="AP635" s="242"/>
      <c r="AQ635" s="242"/>
      <c r="AR635" s="242"/>
      <c r="AS635" s="242"/>
      <c r="AT635" s="242"/>
      <c r="AU635" s="242"/>
      <c r="AV635" s="242"/>
      <c r="AW635" s="242"/>
      <c r="AX635" s="242"/>
      <c r="AY635" s="242"/>
      <c r="AZ635" s="242"/>
      <c r="BA635" s="242"/>
      <c r="BB635" s="237"/>
      <c r="BC635" s="242"/>
      <c r="BD635" s="242"/>
      <c r="BE635" s="242"/>
      <c r="BF635" s="242"/>
      <c r="BG635" s="242"/>
      <c r="BH635" s="242"/>
      <c r="BI635" s="242"/>
      <c r="BJ635" s="242"/>
      <c r="BK635" s="242"/>
      <c r="BL635" s="242"/>
      <c r="BM635" s="242"/>
      <c r="BN635" s="242"/>
      <c r="BO635" s="242"/>
      <c r="BP635" s="242"/>
    </row>
    <row r="636" spans="1:68" ht="14.25" hidden="1" customHeight="1" outlineLevel="1">
      <c r="A636" s="233"/>
      <c r="B636" s="237"/>
      <c r="C636" s="237"/>
      <c r="D636" s="237"/>
      <c r="E636" s="242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34"/>
      <c r="T636" s="242"/>
      <c r="U636" s="242"/>
      <c r="V636" s="242"/>
      <c r="W636" s="242"/>
      <c r="X636" s="242"/>
      <c r="Y636" s="242"/>
      <c r="Z636" s="242"/>
      <c r="AA636" s="242"/>
      <c r="AB636" s="242"/>
      <c r="AC636" s="242"/>
      <c r="AD636" s="242"/>
      <c r="AE636" s="242"/>
      <c r="AF636" s="242"/>
      <c r="AG636" s="242"/>
      <c r="AH636" s="242"/>
      <c r="AI636" s="242"/>
      <c r="AJ636" s="242"/>
      <c r="AK636" s="242"/>
      <c r="AL636" s="242"/>
      <c r="AM636" s="242"/>
      <c r="AN636" s="241"/>
      <c r="AO636" s="242"/>
      <c r="AP636" s="242"/>
      <c r="AQ636" s="242"/>
      <c r="AR636" s="242"/>
      <c r="AS636" s="242"/>
      <c r="AT636" s="242"/>
      <c r="AU636" s="242"/>
      <c r="AV636" s="242"/>
      <c r="AW636" s="242"/>
      <c r="AX636" s="242"/>
      <c r="AY636" s="242"/>
      <c r="AZ636" s="242"/>
      <c r="BA636" s="242"/>
      <c r="BB636" s="237"/>
      <c r="BC636" s="242"/>
      <c r="BD636" s="242"/>
      <c r="BE636" s="242"/>
      <c r="BF636" s="242"/>
      <c r="BG636" s="242"/>
      <c r="BH636" s="242"/>
      <c r="BI636" s="242"/>
      <c r="BJ636" s="242"/>
      <c r="BK636" s="242"/>
      <c r="BL636" s="242"/>
      <c r="BM636" s="242"/>
      <c r="BN636" s="242"/>
      <c r="BO636" s="242"/>
      <c r="BP636" s="242"/>
    </row>
    <row r="637" spans="1:68" ht="14.25" hidden="1" customHeight="1" outlineLevel="1">
      <c r="A637" s="233"/>
      <c r="B637" s="237"/>
      <c r="C637" s="237"/>
      <c r="D637" s="237"/>
      <c r="E637" s="242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34"/>
      <c r="T637" s="242"/>
      <c r="U637" s="242"/>
      <c r="V637" s="242"/>
      <c r="W637" s="242"/>
      <c r="X637" s="242"/>
      <c r="Y637" s="242"/>
      <c r="Z637" s="242"/>
      <c r="AA637" s="242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2"/>
      <c r="AN637" s="241"/>
      <c r="AO637" s="242"/>
      <c r="AP637" s="242"/>
      <c r="AQ637" s="242"/>
      <c r="AR637" s="242"/>
      <c r="AS637" s="242"/>
      <c r="AT637" s="242"/>
      <c r="AU637" s="242"/>
      <c r="AV637" s="242"/>
      <c r="AW637" s="242"/>
      <c r="AX637" s="242"/>
      <c r="AY637" s="242"/>
      <c r="AZ637" s="242"/>
      <c r="BA637" s="242"/>
      <c r="BB637" s="237"/>
      <c r="BC637" s="242"/>
      <c r="BD637" s="242"/>
      <c r="BE637" s="242"/>
      <c r="BF637" s="242"/>
      <c r="BG637" s="242"/>
      <c r="BH637" s="242"/>
      <c r="BI637" s="242"/>
      <c r="BJ637" s="242"/>
      <c r="BK637" s="242"/>
      <c r="BL637" s="242"/>
      <c r="BM637" s="242"/>
      <c r="BN637" s="242"/>
      <c r="BO637" s="242"/>
      <c r="BP637" s="242"/>
    </row>
    <row r="638" spans="1:68" ht="14.25" hidden="1" customHeight="1" outlineLevel="1">
      <c r="A638" s="233"/>
      <c r="B638" s="237"/>
      <c r="C638" s="237"/>
      <c r="D638" s="237"/>
      <c r="E638" s="242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34"/>
      <c r="T638" s="242"/>
      <c r="U638" s="242"/>
      <c r="V638" s="242"/>
      <c r="W638" s="242"/>
      <c r="X638" s="242"/>
      <c r="Y638" s="242"/>
      <c r="Z638" s="242"/>
      <c r="AA638" s="242"/>
      <c r="AB638" s="242"/>
      <c r="AC638" s="242"/>
      <c r="AD638" s="242"/>
      <c r="AE638" s="242"/>
      <c r="AF638" s="242"/>
      <c r="AG638" s="242"/>
      <c r="AH638" s="242"/>
      <c r="AI638" s="242"/>
      <c r="AJ638" s="242"/>
      <c r="AK638" s="242"/>
      <c r="AL638" s="242"/>
      <c r="AM638" s="242"/>
      <c r="AN638" s="241"/>
      <c r="AO638" s="242"/>
      <c r="AP638" s="242"/>
      <c r="AQ638" s="242"/>
      <c r="AR638" s="242"/>
      <c r="AS638" s="242"/>
      <c r="AT638" s="242"/>
      <c r="AU638" s="242"/>
      <c r="AV638" s="242"/>
      <c r="AW638" s="242"/>
      <c r="AX638" s="242"/>
      <c r="AY638" s="242"/>
      <c r="AZ638" s="242"/>
      <c r="BA638" s="242"/>
      <c r="BB638" s="237"/>
      <c r="BC638" s="242"/>
      <c r="BD638" s="242"/>
      <c r="BE638" s="242"/>
      <c r="BF638" s="242"/>
      <c r="BG638" s="242"/>
      <c r="BH638" s="242"/>
      <c r="BI638" s="242"/>
      <c r="BJ638" s="242"/>
      <c r="BK638" s="242"/>
      <c r="BL638" s="242"/>
      <c r="BM638" s="242"/>
      <c r="BN638" s="242"/>
      <c r="BO638" s="242"/>
      <c r="BP638" s="242"/>
    </row>
    <row r="639" spans="1:68" ht="14.25" hidden="1" customHeight="1" outlineLevel="1">
      <c r="A639" s="233"/>
      <c r="B639" s="237"/>
      <c r="C639" s="237"/>
      <c r="D639" s="237"/>
      <c r="E639" s="242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34"/>
      <c r="T639" s="242"/>
      <c r="U639" s="242"/>
      <c r="V639" s="242"/>
      <c r="W639" s="242"/>
      <c r="X639" s="242"/>
      <c r="Y639" s="242"/>
      <c r="Z639" s="242"/>
      <c r="AA639" s="242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2"/>
      <c r="AN639" s="241"/>
      <c r="AO639" s="242"/>
      <c r="AP639" s="242"/>
      <c r="AQ639" s="242"/>
      <c r="AR639" s="242"/>
      <c r="AS639" s="242"/>
      <c r="AT639" s="242"/>
      <c r="AU639" s="242"/>
      <c r="AV639" s="242"/>
      <c r="AW639" s="242"/>
      <c r="AX639" s="242"/>
      <c r="AY639" s="242"/>
      <c r="AZ639" s="242"/>
      <c r="BA639" s="242"/>
      <c r="BB639" s="237"/>
      <c r="BC639" s="242"/>
      <c r="BD639" s="242"/>
      <c r="BE639" s="242"/>
      <c r="BF639" s="242"/>
      <c r="BG639" s="242"/>
      <c r="BH639" s="242"/>
      <c r="BI639" s="242"/>
      <c r="BJ639" s="242"/>
      <c r="BK639" s="242"/>
      <c r="BL639" s="242"/>
      <c r="BM639" s="242"/>
      <c r="BN639" s="242"/>
      <c r="BO639" s="242"/>
      <c r="BP639" s="242"/>
    </row>
    <row r="640" spans="1:68" ht="14.25" hidden="1" customHeight="1" outlineLevel="1">
      <c r="A640" s="233"/>
      <c r="B640" s="237"/>
      <c r="C640" s="237"/>
      <c r="D640" s="237"/>
      <c r="E640" s="242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34"/>
      <c r="T640" s="242"/>
      <c r="U640" s="242"/>
      <c r="V640" s="242"/>
      <c r="W640" s="242"/>
      <c r="X640" s="242"/>
      <c r="Y640" s="242"/>
      <c r="Z640" s="242"/>
      <c r="AA640" s="242"/>
      <c r="AB640" s="242"/>
      <c r="AC640" s="242"/>
      <c r="AD640" s="242"/>
      <c r="AE640" s="242"/>
      <c r="AF640" s="242"/>
      <c r="AG640" s="242"/>
      <c r="AH640" s="242"/>
      <c r="AI640" s="242"/>
      <c r="AJ640" s="242"/>
      <c r="AK640" s="242"/>
      <c r="AL640" s="242"/>
      <c r="AM640" s="242"/>
      <c r="AN640" s="241"/>
      <c r="AO640" s="242"/>
      <c r="AP640" s="242"/>
      <c r="AQ640" s="242"/>
      <c r="AR640" s="242"/>
      <c r="AS640" s="242"/>
      <c r="AT640" s="242"/>
      <c r="AU640" s="242"/>
      <c r="AV640" s="242"/>
      <c r="AW640" s="242"/>
      <c r="AX640" s="242"/>
      <c r="AY640" s="242"/>
      <c r="AZ640" s="242"/>
      <c r="BA640" s="242"/>
      <c r="BB640" s="237"/>
      <c r="BC640" s="242"/>
      <c r="BD640" s="242"/>
      <c r="BE640" s="242"/>
      <c r="BF640" s="242"/>
      <c r="BG640" s="242"/>
      <c r="BH640" s="242"/>
      <c r="BI640" s="242"/>
      <c r="BJ640" s="242"/>
      <c r="BK640" s="242"/>
      <c r="BL640" s="242"/>
      <c r="BM640" s="242"/>
      <c r="BN640" s="242"/>
      <c r="BO640" s="242"/>
      <c r="BP640" s="242"/>
    </row>
    <row r="641" spans="1:68" ht="14.25" hidden="1" customHeight="1" outlineLevel="1">
      <c r="A641" s="233"/>
      <c r="B641" s="237"/>
      <c r="C641" s="237"/>
      <c r="D641" s="237"/>
      <c r="E641" s="242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34"/>
      <c r="T641" s="242"/>
      <c r="U641" s="242"/>
      <c r="V641" s="242"/>
      <c r="W641" s="242"/>
      <c r="X641" s="242"/>
      <c r="Y641" s="242"/>
      <c r="Z641" s="242"/>
      <c r="AA641" s="242"/>
      <c r="AB641" s="242"/>
      <c r="AC641" s="242"/>
      <c r="AD641" s="242"/>
      <c r="AE641" s="242"/>
      <c r="AF641" s="242"/>
      <c r="AG641" s="242"/>
      <c r="AH641" s="242"/>
      <c r="AI641" s="242"/>
      <c r="AJ641" s="242"/>
      <c r="AK641" s="242"/>
      <c r="AL641" s="242"/>
      <c r="AM641" s="242"/>
      <c r="AN641" s="241"/>
      <c r="AO641" s="242"/>
      <c r="AP641" s="242"/>
      <c r="AQ641" s="242"/>
      <c r="AR641" s="242"/>
      <c r="AS641" s="242"/>
      <c r="AT641" s="242"/>
      <c r="AU641" s="242"/>
      <c r="AV641" s="242"/>
      <c r="AW641" s="242"/>
      <c r="AX641" s="242"/>
      <c r="AY641" s="242"/>
      <c r="AZ641" s="242"/>
      <c r="BA641" s="242"/>
      <c r="BB641" s="237"/>
      <c r="BC641" s="242"/>
      <c r="BD641" s="242"/>
      <c r="BE641" s="242"/>
      <c r="BF641" s="242"/>
      <c r="BG641" s="242"/>
      <c r="BH641" s="242"/>
      <c r="BI641" s="242"/>
      <c r="BJ641" s="242"/>
      <c r="BK641" s="242"/>
      <c r="BL641" s="242"/>
      <c r="BM641" s="242"/>
      <c r="BN641" s="242"/>
      <c r="BO641" s="242"/>
      <c r="BP641" s="242"/>
    </row>
    <row r="642" spans="1:68" ht="14.25" hidden="1" customHeight="1" outlineLevel="1">
      <c r="A642" s="233"/>
      <c r="B642" s="237"/>
      <c r="C642" s="237"/>
      <c r="D642" s="237"/>
      <c r="E642" s="242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34"/>
      <c r="T642" s="242"/>
      <c r="U642" s="242"/>
      <c r="V642" s="242"/>
      <c r="W642" s="242"/>
      <c r="X642" s="242"/>
      <c r="Y642" s="242"/>
      <c r="Z642" s="242"/>
      <c r="AA642" s="242"/>
      <c r="AB642" s="242"/>
      <c r="AC642" s="242"/>
      <c r="AD642" s="242"/>
      <c r="AE642" s="242"/>
      <c r="AF642" s="242"/>
      <c r="AG642" s="242"/>
      <c r="AH642" s="242"/>
      <c r="AI642" s="242"/>
      <c r="AJ642" s="242"/>
      <c r="AK642" s="242"/>
      <c r="AL642" s="242"/>
      <c r="AM642" s="242"/>
      <c r="AN642" s="241"/>
      <c r="AO642" s="242"/>
      <c r="AP642" s="242"/>
      <c r="AQ642" s="242"/>
      <c r="AR642" s="242"/>
      <c r="AS642" s="242"/>
      <c r="AT642" s="242"/>
      <c r="AU642" s="242"/>
      <c r="AV642" s="242"/>
      <c r="AW642" s="242"/>
      <c r="AX642" s="242"/>
      <c r="AY642" s="242"/>
      <c r="AZ642" s="242"/>
      <c r="BA642" s="242"/>
      <c r="BB642" s="237"/>
      <c r="BC642" s="242"/>
      <c r="BD642" s="242"/>
      <c r="BE642" s="242"/>
      <c r="BF642" s="242"/>
      <c r="BG642" s="242"/>
      <c r="BH642" s="242"/>
      <c r="BI642" s="242"/>
      <c r="BJ642" s="242"/>
      <c r="BK642" s="242"/>
      <c r="BL642" s="242"/>
      <c r="BM642" s="242"/>
      <c r="BN642" s="242"/>
      <c r="BO642" s="242"/>
      <c r="BP642" s="242"/>
    </row>
    <row r="643" spans="1:68" ht="14.25" hidden="1" customHeight="1" outlineLevel="1">
      <c r="A643" s="233"/>
      <c r="B643" s="237"/>
      <c r="C643" s="237"/>
      <c r="D643" s="237"/>
      <c r="E643" s="242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34"/>
      <c r="T643" s="242"/>
      <c r="U643" s="242"/>
      <c r="V643" s="242"/>
      <c r="W643" s="242"/>
      <c r="X643" s="242"/>
      <c r="Y643" s="242"/>
      <c r="Z643" s="242"/>
      <c r="AA643" s="242"/>
      <c r="AB643" s="242"/>
      <c r="AC643" s="242"/>
      <c r="AD643" s="242"/>
      <c r="AE643" s="242"/>
      <c r="AF643" s="242"/>
      <c r="AG643" s="242"/>
      <c r="AH643" s="242"/>
      <c r="AI643" s="242"/>
      <c r="AJ643" s="242"/>
      <c r="AK643" s="242"/>
      <c r="AL643" s="242"/>
      <c r="AM643" s="242"/>
      <c r="AN643" s="241"/>
      <c r="AO643" s="242"/>
      <c r="AP643" s="242"/>
      <c r="AQ643" s="242"/>
      <c r="AR643" s="242"/>
      <c r="AS643" s="242"/>
      <c r="AT643" s="242"/>
      <c r="AU643" s="242"/>
      <c r="AV643" s="242"/>
      <c r="AW643" s="242"/>
      <c r="AX643" s="242"/>
      <c r="AY643" s="242"/>
      <c r="AZ643" s="242"/>
      <c r="BA643" s="242"/>
      <c r="BB643" s="237"/>
      <c r="BC643" s="242"/>
      <c r="BD643" s="242"/>
      <c r="BE643" s="242"/>
      <c r="BF643" s="242"/>
      <c r="BG643" s="242"/>
      <c r="BH643" s="242"/>
      <c r="BI643" s="242"/>
      <c r="BJ643" s="242"/>
      <c r="BK643" s="242"/>
      <c r="BL643" s="242"/>
      <c r="BM643" s="242"/>
      <c r="BN643" s="242"/>
      <c r="BO643" s="242"/>
      <c r="BP643" s="242"/>
    </row>
    <row r="644" spans="1:68" ht="14.25" hidden="1" customHeight="1" outlineLevel="1">
      <c r="A644" s="233"/>
      <c r="B644" s="237"/>
      <c r="C644" s="237"/>
      <c r="D644" s="237"/>
      <c r="E644" s="242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34"/>
      <c r="T644" s="242"/>
      <c r="U644" s="242"/>
      <c r="V644" s="242"/>
      <c r="W644" s="242"/>
      <c r="X644" s="242"/>
      <c r="Y644" s="242"/>
      <c r="Z644" s="242"/>
      <c r="AA644" s="242"/>
      <c r="AB644" s="242"/>
      <c r="AC644" s="242"/>
      <c r="AD644" s="242"/>
      <c r="AE644" s="242"/>
      <c r="AF644" s="242"/>
      <c r="AG644" s="242"/>
      <c r="AH644" s="242"/>
      <c r="AI644" s="242"/>
      <c r="AJ644" s="242"/>
      <c r="AK644" s="242"/>
      <c r="AL644" s="242"/>
      <c r="AM644" s="242"/>
      <c r="AN644" s="241"/>
      <c r="AO644" s="242"/>
      <c r="AP644" s="242"/>
      <c r="AQ644" s="242"/>
      <c r="AR644" s="242"/>
      <c r="AS644" s="242"/>
      <c r="AT644" s="242"/>
      <c r="AU644" s="242"/>
      <c r="AV644" s="242"/>
      <c r="AW644" s="242"/>
      <c r="AX644" s="242"/>
      <c r="AY644" s="242"/>
      <c r="AZ644" s="242"/>
      <c r="BA644" s="242"/>
      <c r="BB644" s="237"/>
      <c r="BC644" s="242"/>
      <c r="BD644" s="242"/>
      <c r="BE644" s="242"/>
      <c r="BF644" s="242"/>
      <c r="BG644" s="242"/>
      <c r="BH644" s="242"/>
      <c r="BI644" s="242"/>
      <c r="BJ644" s="242"/>
      <c r="BK644" s="242"/>
      <c r="BL644" s="242"/>
      <c r="BM644" s="242"/>
      <c r="BN644" s="242"/>
      <c r="BO644" s="242"/>
      <c r="BP644" s="242"/>
    </row>
    <row r="645" spans="1:68" ht="14.25" hidden="1" customHeight="1" outlineLevel="1">
      <c r="A645" s="233"/>
      <c r="B645" s="237"/>
      <c r="C645" s="237"/>
      <c r="D645" s="237"/>
      <c r="E645" s="242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34"/>
      <c r="T645" s="242"/>
      <c r="U645" s="242"/>
      <c r="V645" s="242"/>
      <c r="W645" s="242"/>
      <c r="X645" s="242"/>
      <c r="Y645" s="242"/>
      <c r="Z645" s="242"/>
      <c r="AA645" s="242"/>
      <c r="AB645" s="242"/>
      <c r="AC645" s="242"/>
      <c r="AD645" s="242"/>
      <c r="AE645" s="242"/>
      <c r="AF645" s="242"/>
      <c r="AG645" s="242"/>
      <c r="AH645" s="242"/>
      <c r="AI645" s="242"/>
      <c r="AJ645" s="242"/>
      <c r="AK645" s="242"/>
      <c r="AL645" s="242"/>
      <c r="AM645" s="242"/>
      <c r="AN645" s="241"/>
      <c r="AO645" s="242"/>
      <c r="AP645" s="242"/>
      <c r="AQ645" s="242"/>
      <c r="AR645" s="242"/>
      <c r="AS645" s="242"/>
      <c r="AT645" s="242"/>
      <c r="AU645" s="242"/>
      <c r="AV645" s="242"/>
      <c r="AW645" s="242"/>
      <c r="AX645" s="242"/>
      <c r="AY645" s="242"/>
      <c r="AZ645" s="242"/>
      <c r="BA645" s="242"/>
      <c r="BB645" s="237"/>
      <c r="BC645" s="242"/>
      <c r="BD645" s="242"/>
      <c r="BE645" s="242"/>
      <c r="BF645" s="242"/>
      <c r="BG645" s="242"/>
      <c r="BH645" s="242"/>
      <c r="BI645" s="242"/>
      <c r="BJ645" s="242"/>
      <c r="BK645" s="242"/>
      <c r="BL645" s="242"/>
      <c r="BM645" s="242"/>
      <c r="BN645" s="242"/>
      <c r="BO645" s="242"/>
      <c r="BP645" s="242"/>
    </row>
    <row r="646" spans="1:68" ht="14.25" hidden="1" customHeight="1" outlineLevel="1">
      <c r="A646" s="233"/>
      <c r="B646" s="237"/>
      <c r="C646" s="237"/>
      <c r="D646" s="237"/>
      <c r="E646" s="242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34"/>
      <c r="T646" s="242"/>
      <c r="U646" s="242"/>
      <c r="V646" s="242"/>
      <c r="W646" s="242"/>
      <c r="X646" s="242"/>
      <c r="Y646" s="242"/>
      <c r="Z646" s="242"/>
      <c r="AA646" s="242"/>
      <c r="AB646" s="242"/>
      <c r="AC646" s="242"/>
      <c r="AD646" s="242"/>
      <c r="AE646" s="242"/>
      <c r="AF646" s="242"/>
      <c r="AG646" s="242"/>
      <c r="AH646" s="242"/>
      <c r="AI646" s="242"/>
      <c r="AJ646" s="242"/>
      <c r="AK646" s="242"/>
      <c r="AL646" s="242"/>
      <c r="AM646" s="242"/>
      <c r="AN646" s="241"/>
      <c r="AO646" s="242"/>
      <c r="AP646" s="242"/>
      <c r="AQ646" s="242"/>
      <c r="AR646" s="242"/>
      <c r="AS646" s="242"/>
      <c r="AT646" s="242"/>
      <c r="AU646" s="242"/>
      <c r="AV646" s="242"/>
      <c r="AW646" s="242"/>
      <c r="AX646" s="242"/>
      <c r="AY646" s="242"/>
      <c r="AZ646" s="242"/>
      <c r="BA646" s="242"/>
      <c r="BB646" s="237"/>
      <c r="BC646" s="242"/>
      <c r="BD646" s="242"/>
      <c r="BE646" s="242"/>
      <c r="BF646" s="242"/>
      <c r="BG646" s="242"/>
      <c r="BH646" s="242"/>
      <c r="BI646" s="242"/>
      <c r="BJ646" s="242"/>
      <c r="BK646" s="242"/>
      <c r="BL646" s="242"/>
      <c r="BM646" s="242"/>
      <c r="BN646" s="242"/>
      <c r="BO646" s="242"/>
      <c r="BP646" s="242"/>
    </row>
    <row r="647" spans="1:68" ht="14.25" hidden="1" customHeight="1" outlineLevel="1">
      <c r="A647" s="233"/>
      <c r="B647" s="237"/>
      <c r="C647" s="237"/>
      <c r="D647" s="237"/>
      <c r="E647" s="242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34"/>
      <c r="T647" s="242"/>
      <c r="U647" s="242"/>
      <c r="V647" s="242"/>
      <c r="W647" s="242"/>
      <c r="X647" s="242"/>
      <c r="Y647" s="242"/>
      <c r="Z647" s="242"/>
      <c r="AA647" s="242"/>
      <c r="AB647" s="242"/>
      <c r="AC647" s="242"/>
      <c r="AD647" s="242"/>
      <c r="AE647" s="242"/>
      <c r="AF647" s="242"/>
      <c r="AG647" s="242"/>
      <c r="AH647" s="242"/>
      <c r="AI647" s="242"/>
      <c r="AJ647" s="242"/>
      <c r="AK647" s="242"/>
      <c r="AL647" s="242"/>
      <c r="AM647" s="242"/>
      <c r="AN647" s="241"/>
      <c r="AO647" s="242"/>
      <c r="AP647" s="242"/>
      <c r="AQ647" s="242"/>
      <c r="AR647" s="242"/>
      <c r="AS647" s="242"/>
      <c r="AT647" s="242"/>
      <c r="AU647" s="242"/>
      <c r="AV647" s="242"/>
      <c r="AW647" s="242"/>
      <c r="AX647" s="242"/>
      <c r="AY647" s="242"/>
      <c r="AZ647" s="242"/>
      <c r="BA647" s="242"/>
      <c r="BB647" s="237"/>
      <c r="BC647" s="242"/>
      <c r="BD647" s="242"/>
      <c r="BE647" s="242"/>
      <c r="BF647" s="242"/>
      <c r="BG647" s="242"/>
      <c r="BH647" s="242"/>
      <c r="BI647" s="242"/>
      <c r="BJ647" s="242"/>
      <c r="BK647" s="242"/>
      <c r="BL647" s="242"/>
      <c r="BM647" s="242"/>
      <c r="BN647" s="242"/>
      <c r="BO647" s="242"/>
      <c r="BP647" s="242"/>
    </row>
    <row r="648" spans="1:68" ht="14.25" hidden="1" customHeight="1" outlineLevel="1">
      <c r="A648" s="233"/>
      <c r="B648" s="237"/>
      <c r="C648" s="237"/>
      <c r="D648" s="237"/>
      <c r="E648" s="242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34"/>
      <c r="T648" s="242"/>
      <c r="U648" s="242"/>
      <c r="V648" s="242"/>
      <c r="W648" s="242"/>
      <c r="X648" s="242"/>
      <c r="Y648" s="242"/>
      <c r="Z648" s="242"/>
      <c r="AA648" s="242"/>
      <c r="AB648" s="242"/>
      <c r="AC648" s="242"/>
      <c r="AD648" s="242"/>
      <c r="AE648" s="242"/>
      <c r="AF648" s="242"/>
      <c r="AG648" s="242"/>
      <c r="AH648" s="242"/>
      <c r="AI648" s="242"/>
      <c r="AJ648" s="242"/>
      <c r="AK648" s="242"/>
      <c r="AL648" s="242"/>
      <c r="AM648" s="242"/>
      <c r="AN648" s="241"/>
      <c r="AO648" s="242"/>
      <c r="AP648" s="242"/>
      <c r="AQ648" s="242"/>
      <c r="AR648" s="242"/>
      <c r="AS648" s="242"/>
      <c r="AT648" s="242"/>
      <c r="AU648" s="242"/>
      <c r="AV648" s="242"/>
      <c r="AW648" s="242"/>
      <c r="AX648" s="242"/>
      <c r="AY648" s="242"/>
      <c r="AZ648" s="242"/>
      <c r="BA648" s="242"/>
      <c r="BB648" s="237"/>
      <c r="BC648" s="242"/>
      <c r="BD648" s="242"/>
      <c r="BE648" s="242"/>
      <c r="BF648" s="242"/>
      <c r="BG648" s="242"/>
      <c r="BH648" s="242"/>
      <c r="BI648" s="242"/>
      <c r="BJ648" s="242"/>
      <c r="BK648" s="242"/>
      <c r="BL648" s="242"/>
      <c r="BM648" s="242"/>
      <c r="BN648" s="242"/>
      <c r="BO648" s="242"/>
      <c r="BP648" s="242"/>
    </row>
    <row r="649" spans="1:68" ht="14.25" hidden="1" customHeight="1" outlineLevel="1">
      <c r="A649" s="233"/>
      <c r="B649" s="237"/>
      <c r="C649" s="237"/>
      <c r="D649" s="237"/>
      <c r="E649" s="242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34"/>
      <c r="T649" s="242"/>
      <c r="U649" s="242"/>
      <c r="V649" s="242"/>
      <c r="W649" s="242"/>
      <c r="X649" s="242"/>
      <c r="Y649" s="242"/>
      <c r="Z649" s="242"/>
      <c r="AA649" s="242"/>
      <c r="AB649" s="242"/>
      <c r="AC649" s="242"/>
      <c r="AD649" s="242"/>
      <c r="AE649" s="242"/>
      <c r="AF649" s="242"/>
      <c r="AG649" s="242"/>
      <c r="AH649" s="242"/>
      <c r="AI649" s="242"/>
      <c r="AJ649" s="242"/>
      <c r="AK649" s="242"/>
      <c r="AL649" s="242"/>
      <c r="AM649" s="242"/>
      <c r="AN649" s="241"/>
      <c r="AO649" s="242"/>
      <c r="AP649" s="242"/>
      <c r="AQ649" s="242"/>
      <c r="AR649" s="242"/>
      <c r="AS649" s="242"/>
      <c r="AT649" s="242"/>
      <c r="AU649" s="242"/>
      <c r="AV649" s="242"/>
      <c r="AW649" s="242"/>
      <c r="AX649" s="242"/>
      <c r="AY649" s="242"/>
      <c r="AZ649" s="242"/>
      <c r="BA649" s="242"/>
      <c r="BB649" s="237"/>
      <c r="BC649" s="242"/>
      <c r="BD649" s="242"/>
      <c r="BE649" s="242"/>
      <c r="BF649" s="242"/>
      <c r="BG649" s="242"/>
      <c r="BH649" s="242"/>
      <c r="BI649" s="242"/>
      <c r="BJ649" s="242"/>
      <c r="BK649" s="242"/>
      <c r="BL649" s="242"/>
      <c r="BM649" s="242"/>
      <c r="BN649" s="242"/>
      <c r="BO649" s="242"/>
      <c r="BP649" s="242"/>
    </row>
    <row r="650" spans="1:68" ht="14.25" hidden="1" customHeight="1" outlineLevel="1">
      <c r="A650" s="233"/>
      <c r="B650" s="237"/>
      <c r="C650" s="237"/>
      <c r="D650" s="237"/>
      <c r="E650" s="242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34"/>
      <c r="T650" s="242"/>
      <c r="U650" s="242"/>
      <c r="V650" s="242"/>
      <c r="W650" s="242"/>
      <c r="X650" s="242"/>
      <c r="Y650" s="242"/>
      <c r="Z650" s="242"/>
      <c r="AA650" s="242"/>
      <c r="AB650" s="242"/>
      <c r="AC650" s="242"/>
      <c r="AD650" s="242"/>
      <c r="AE650" s="242"/>
      <c r="AF650" s="242"/>
      <c r="AG650" s="242"/>
      <c r="AH650" s="242"/>
      <c r="AI650" s="242"/>
      <c r="AJ650" s="242"/>
      <c r="AK650" s="242"/>
      <c r="AL650" s="242"/>
      <c r="AM650" s="242"/>
      <c r="AN650" s="241"/>
      <c r="AO650" s="242"/>
      <c r="AP650" s="242"/>
      <c r="AQ650" s="242"/>
      <c r="AR650" s="242"/>
      <c r="AS650" s="242"/>
      <c r="AT650" s="242"/>
      <c r="AU650" s="242"/>
      <c r="AV650" s="242"/>
      <c r="AW650" s="242"/>
      <c r="AX650" s="242"/>
      <c r="AY650" s="242"/>
      <c r="AZ650" s="242"/>
      <c r="BA650" s="242"/>
      <c r="BB650" s="237"/>
      <c r="BC650" s="242"/>
      <c r="BD650" s="242"/>
      <c r="BE650" s="242"/>
      <c r="BF650" s="242"/>
      <c r="BG650" s="242"/>
      <c r="BH650" s="242"/>
      <c r="BI650" s="242"/>
      <c r="BJ650" s="242"/>
      <c r="BK650" s="242"/>
      <c r="BL650" s="242"/>
      <c r="BM650" s="242"/>
      <c r="BN650" s="242"/>
      <c r="BO650" s="242"/>
      <c r="BP650" s="242"/>
    </row>
    <row r="651" spans="1:68" ht="14.25" hidden="1" customHeight="1" outlineLevel="1">
      <c r="A651" s="233"/>
      <c r="B651" s="237"/>
      <c r="C651" s="237"/>
      <c r="D651" s="237"/>
      <c r="E651" s="242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34"/>
      <c r="T651" s="242"/>
      <c r="U651" s="242"/>
      <c r="V651" s="242"/>
      <c r="W651" s="242"/>
      <c r="X651" s="242"/>
      <c r="Y651" s="242"/>
      <c r="Z651" s="242"/>
      <c r="AA651" s="242"/>
      <c r="AB651" s="242"/>
      <c r="AC651" s="242"/>
      <c r="AD651" s="242"/>
      <c r="AE651" s="242"/>
      <c r="AF651" s="242"/>
      <c r="AG651" s="242"/>
      <c r="AH651" s="242"/>
      <c r="AI651" s="242"/>
      <c r="AJ651" s="242"/>
      <c r="AK651" s="242"/>
      <c r="AL651" s="242"/>
      <c r="AM651" s="242"/>
      <c r="AN651" s="241"/>
      <c r="AO651" s="242"/>
      <c r="AP651" s="242"/>
      <c r="AQ651" s="242"/>
      <c r="AR651" s="242"/>
      <c r="AS651" s="242"/>
      <c r="AT651" s="242"/>
      <c r="AU651" s="242"/>
      <c r="AV651" s="242"/>
      <c r="AW651" s="242"/>
      <c r="AX651" s="242"/>
      <c r="AY651" s="242"/>
      <c r="AZ651" s="242"/>
      <c r="BA651" s="242"/>
      <c r="BB651" s="237"/>
      <c r="BC651" s="242"/>
      <c r="BD651" s="242"/>
      <c r="BE651" s="242"/>
      <c r="BF651" s="242"/>
      <c r="BG651" s="242"/>
      <c r="BH651" s="242"/>
      <c r="BI651" s="242"/>
      <c r="BJ651" s="242"/>
      <c r="BK651" s="242"/>
      <c r="BL651" s="242"/>
      <c r="BM651" s="242"/>
      <c r="BN651" s="242"/>
      <c r="BO651" s="242"/>
      <c r="BP651" s="242"/>
    </row>
    <row r="652" spans="1:68" ht="14.25" hidden="1" customHeight="1" outlineLevel="1">
      <c r="A652" s="233"/>
      <c r="B652" s="237"/>
      <c r="C652" s="237"/>
      <c r="D652" s="237"/>
      <c r="E652" s="242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34"/>
      <c r="T652" s="242"/>
      <c r="U652" s="242"/>
      <c r="V652" s="242"/>
      <c r="W652" s="242"/>
      <c r="X652" s="242"/>
      <c r="Y652" s="242"/>
      <c r="Z652" s="242"/>
      <c r="AA652" s="242"/>
      <c r="AB652" s="242"/>
      <c r="AC652" s="242"/>
      <c r="AD652" s="242"/>
      <c r="AE652" s="242"/>
      <c r="AF652" s="242"/>
      <c r="AG652" s="242"/>
      <c r="AH652" s="242"/>
      <c r="AI652" s="242"/>
      <c r="AJ652" s="242"/>
      <c r="AK652" s="242"/>
      <c r="AL652" s="242"/>
      <c r="AM652" s="242"/>
      <c r="AN652" s="241"/>
      <c r="AO652" s="242"/>
      <c r="AP652" s="242"/>
      <c r="AQ652" s="242"/>
      <c r="AR652" s="242"/>
      <c r="AS652" s="242"/>
      <c r="AT652" s="242"/>
      <c r="AU652" s="242"/>
      <c r="AV652" s="242"/>
      <c r="AW652" s="242"/>
      <c r="AX652" s="242"/>
      <c r="AY652" s="242"/>
      <c r="AZ652" s="242"/>
      <c r="BA652" s="242"/>
      <c r="BB652" s="237"/>
      <c r="BC652" s="242"/>
      <c r="BD652" s="242"/>
      <c r="BE652" s="242"/>
      <c r="BF652" s="242"/>
      <c r="BG652" s="242"/>
      <c r="BH652" s="242"/>
      <c r="BI652" s="242"/>
      <c r="BJ652" s="242"/>
      <c r="BK652" s="242"/>
      <c r="BL652" s="242"/>
      <c r="BM652" s="242"/>
      <c r="BN652" s="242"/>
      <c r="BO652" s="242"/>
      <c r="BP652" s="242"/>
    </row>
    <row r="653" spans="1:68" ht="14.25" hidden="1" customHeight="1" outlineLevel="1">
      <c r="A653" s="233"/>
      <c r="B653" s="237"/>
      <c r="C653" s="237"/>
      <c r="D653" s="237"/>
      <c r="E653" s="242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34"/>
      <c r="T653" s="242"/>
      <c r="U653" s="242"/>
      <c r="V653" s="242"/>
      <c r="W653" s="242"/>
      <c r="X653" s="242"/>
      <c r="Y653" s="242"/>
      <c r="Z653" s="242"/>
      <c r="AA653" s="242"/>
      <c r="AB653" s="242"/>
      <c r="AC653" s="242"/>
      <c r="AD653" s="242"/>
      <c r="AE653" s="242"/>
      <c r="AF653" s="242"/>
      <c r="AG653" s="242"/>
      <c r="AH653" s="242"/>
      <c r="AI653" s="242"/>
      <c r="AJ653" s="242"/>
      <c r="AK653" s="242"/>
      <c r="AL653" s="242"/>
      <c r="AM653" s="242"/>
      <c r="AN653" s="241"/>
      <c r="AO653" s="242"/>
      <c r="AP653" s="242"/>
      <c r="AQ653" s="242"/>
      <c r="AR653" s="242"/>
      <c r="AS653" s="242"/>
      <c r="AT653" s="242"/>
      <c r="AU653" s="242"/>
      <c r="AV653" s="242"/>
      <c r="AW653" s="242"/>
      <c r="AX653" s="242"/>
      <c r="AY653" s="242"/>
      <c r="AZ653" s="242"/>
      <c r="BA653" s="242"/>
      <c r="BB653" s="237"/>
      <c r="BC653" s="242"/>
      <c r="BD653" s="242"/>
      <c r="BE653" s="242"/>
      <c r="BF653" s="242"/>
      <c r="BG653" s="242"/>
      <c r="BH653" s="242"/>
      <c r="BI653" s="242"/>
      <c r="BJ653" s="242"/>
      <c r="BK653" s="242"/>
      <c r="BL653" s="242"/>
      <c r="BM653" s="242"/>
      <c r="BN653" s="242"/>
      <c r="BO653" s="242"/>
      <c r="BP653" s="242"/>
    </row>
    <row r="654" spans="1:68" ht="14.25" hidden="1" customHeight="1" outlineLevel="1">
      <c r="A654" s="233"/>
      <c r="B654" s="237"/>
      <c r="C654" s="237"/>
      <c r="D654" s="237"/>
      <c r="E654" s="242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34"/>
      <c r="T654" s="242"/>
      <c r="U654" s="242"/>
      <c r="V654" s="242"/>
      <c r="W654" s="242"/>
      <c r="X654" s="242"/>
      <c r="Y654" s="242"/>
      <c r="Z654" s="242"/>
      <c r="AA654" s="242"/>
      <c r="AB654" s="242"/>
      <c r="AC654" s="242"/>
      <c r="AD654" s="242"/>
      <c r="AE654" s="242"/>
      <c r="AF654" s="242"/>
      <c r="AG654" s="242"/>
      <c r="AH654" s="242"/>
      <c r="AI654" s="242"/>
      <c r="AJ654" s="242"/>
      <c r="AK654" s="242"/>
      <c r="AL654" s="242"/>
      <c r="AM654" s="242"/>
      <c r="AN654" s="241"/>
      <c r="AO654" s="242"/>
      <c r="AP654" s="242"/>
      <c r="AQ654" s="242"/>
      <c r="AR654" s="242"/>
      <c r="AS654" s="242"/>
      <c r="AT654" s="242"/>
      <c r="AU654" s="242"/>
      <c r="AV654" s="242"/>
      <c r="AW654" s="242"/>
      <c r="AX654" s="242"/>
      <c r="AY654" s="242"/>
      <c r="AZ654" s="242"/>
      <c r="BA654" s="242"/>
      <c r="BB654" s="237"/>
      <c r="BC654" s="242"/>
      <c r="BD654" s="242"/>
      <c r="BE654" s="242"/>
      <c r="BF654" s="242"/>
      <c r="BG654" s="242"/>
      <c r="BH654" s="242"/>
      <c r="BI654" s="242"/>
      <c r="BJ654" s="242"/>
      <c r="BK654" s="242"/>
      <c r="BL654" s="242"/>
      <c r="BM654" s="242"/>
      <c r="BN654" s="242"/>
      <c r="BO654" s="242"/>
      <c r="BP654" s="242"/>
    </row>
    <row r="655" spans="1:68" ht="14.25" hidden="1" customHeight="1" outlineLevel="1">
      <c r="A655" s="233"/>
      <c r="B655" s="237"/>
      <c r="C655" s="237"/>
      <c r="D655" s="237"/>
      <c r="E655" s="242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34"/>
      <c r="T655" s="242"/>
      <c r="U655" s="242"/>
      <c r="V655" s="242"/>
      <c r="W655" s="242"/>
      <c r="X655" s="242"/>
      <c r="Y655" s="242"/>
      <c r="Z655" s="242"/>
      <c r="AA655" s="242"/>
      <c r="AB655" s="242"/>
      <c r="AC655" s="242"/>
      <c r="AD655" s="242"/>
      <c r="AE655" s="242"/>
      <c r="AF655" s="242"/>
      <c r="AG655" s="242"/>
      <c r="AH655" s="242"/>
      <c r="AI655" s="242"/>
      <c r="AJ655" s="242"/>
      <c r="AK655" s="242"/>
      <c r="AL655" s="242"/>
      <c r="AM655" s="242"/>
      <c r="AN655" s="241"/>
      <c r="AO655" s="242"/>
      <c r="AP655" s="242"/>
      <c r="AQ655" s="242"/>
      <c r="AR655" s="242"/>
      <c r="AS655" s="242"/>
      <c r="AT655" s="242"/>
      <c r="AU655" s="242"/>
      <c r="AV655" s="242"/>
      <c r="AW655" s="242"/>
      <c r="AX655" s="242"/>
      <c r="AY655" s="242"/>
      <c r="AZ655" s="242"/>
      <c r="BA655" s="242"/>
      <c r="BB655" s="237"/>
      <c r="BC655" s="242"/>
      <c r="BD655" s="242"/>
      <c r="BE655" s="242"/>
      <c r="BF655" s="242"/>
      <c r="BG655" s="242"/>
      <c r="BH655" s="242"/>
      <c r="BI655" s="242"/>
      <c r="BJ655" s="242"/>
      <c r="BK655" s="242"/>
      <c r="BL655" s="242"/>
      <c r="BM655" s="242"/>
      <c r="BN655" s="242"/>
      <c r="BO655" s="242"/>
      <c r="BP655" s="242"/>
    </row>
    <row r="656" spans="1:68" ht="14.25" hidden="1" customHeight="1" outlineLevel="1">
      <c r="A656" s="233"/>
      <c r="B656" s="237"/>
      <c r="C656" s="237"/>
      <c r="D656" s="237"/>
      <c r="E656" s="242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34"/>
      <c r="T656" s="242"/>
      <c r="U656" s="242"/>
      <c r="V656" s="242"/>
      <c r="W656" s="242"/>
      <c r="X656" s="242"/>
      <c r="Y656" s="242"/>
      <c r="Z656" s="242"/>
      <c r="AA656" s="242"/>
      <c r="AB656" s="242"/>
      <c r="AC656" s="242"/>
      <c r="AD656" s="242"/>
      <c r="AE656" s="242"/>
      <c r="AF656" s="242"/>
      <c r="AG656" s="242"/>
      <c r="AH656" s="242"/>
      <c r="AI656" s="242"/>
      <c r="AJ656" s="242"/>
      <c r="AK656" s="242"/>
      <c r="AL656" s="242"/>
      <c r="AM656" s="242"/>
      <c r="AN656" s="241"/>
      <c r="AO656" s="242"/>
      <c r="AP656" s="242"/>
      <c r="AQ656" s="242"/>
      <c r="AR656" s="242"/>
      <c r="AS656" s="242"/>
      <c r="AT656" s="242"/>
      <c r="AU656" s="242"/>
      <c r="AV656" s="242"/>
      <c r="AW656" s="242"/>
      <c r="AX656" s="242"/>
      <c r="AY656" s="242"/>
      <c r="AZ656" s="242"/>
      <c r="BA656" s="242"/>
      <c r="BB656" s="237"/>
      <c r="BC656" s="242"/>
      <c r="BD656" s="242"/>
      <c r="BE656" s="242"/>
      <c r="BF656" s="242"/>
      <c r="BG656" s="242"/>
      <c r="BH656" s="242"/>
      <c r="BI656" s="242"/>
      <c r="BJ656" s="242"/>
      <c r="BK656" s="242"/>
      <c r="BL656" s="242"/>
      <c r="BM656" s="242"/>
      <c r="BN656" s="242"/>
      <c r="BO656" s="242"/>
      <c r="BP656" s="242"/>
    </row>
    <row r="657" spans="1:68" ht="14.25" hidden="1" customHeight="1" outlineLevel="1">
      <c r="A657" s="233"/>
      <c r="B657" s="237"/>
      <c r="C657" s="237"/>
      <c r="D657" s="237"/>
      <c r="E657" s="242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34"/>
      <c r="T657" s="242"/>
      <c r="U657" s="242"/>
      <c r="V657" s="242"/>
      <c r="W657" s="242"/>
      <c r="X657" s="242"/>
      <c r="Y657" s="242"/>
      <c r="Z657" s="242"/>
      <c r="AA657" s="242"/>
      <c r="AB657" s="242"/>
      <c r="AC657" s="242"/>
      <c r="AD657" s="242"/>
      <c r="AE657" s="242"/>
      <c r="AF657" s="242"/>
      <c r="AG657" s="242"/>
      <c r="AH657" s="242"/>
      <c r="AI657" s="242"/>
      <c r="AJ657" s="242"/>
      <c r="AK657" s="242"/>
      <c r="AL657" s="242"/>
      <c r="AM657" s="242"/>
      <c r="AN657" s="241"/>
      <c r="AO657" s="242"/>
      <c r="AP657" s="242"/>
      <c r="AQ657" s="242"/>
      <c r="AR657" s="242"/>
      <c r="AS657" s="242"/>
      <c r="AT657" s="242"/>
      <c r="AU657" s="242"/>
      <c r="AV657" s="242"/>
      <c r="AW657" s="242"/>
      <c r="AX657" s="242"/>
      <c r="AY657" s="242"/>
      <c r="AZ657" s="242"/>
      <c r="BA657" s="242"/>
      <c r="BB657" s="237"/>
      <c r="BC657" s="242"/>
      <c r="BD657" s="242"/>
      <c r="BE657" s="242"/>
      <c r="BF657" s="242"/>
      <c r="BG657" s="242"/>
      <c r="BH657" s="242"/>
      <c r="BI657" s="242"/>
      <c r="BJ657" s="242"/>
      <c r="BK657" s="242"/>
      <c r="BL657" s="242"/>
      <c r="BM657" s="242"/>
      <c r="BN657" s="242"/>
      <c r="BO657" s="242"/>
      <c r="BP657" s="242"/>
    </row>
    <row r="658" spans="1:68" ht="14.25" customHeight="1" collapsed="1">
      <c r="A658" s="233">
        <v>1</v>
      </c>
      <c r="B658" s="234">
        <v>370</v>
      </c>
      <c r="C658" s="244" t="s">
        <v>928</v>
      </c>
      <c r="D658" s="244" t="s">
        <v>929</v>
      </c>
      <c r="E658" s="244" t="s">
        <v>134</v>
      </c>
      <c r="F658" s="245">
        <v>-25.5</v>
      </c>
      <c r="G658" s="245">
        <v>-18.5</v>
      </c>
      <c r="H658" s="245">
        <v>-8.5</v>
      </c>
      <c r="I658" s="245">
        <v>2.9</v>
      </c>
      <c r="J658" s="245">
        <v>10.5</v>
      </c>
      <c r="K658" s="245">
        <v>17.3</v>
      </c>
      <c r="L658" s="245">
        <v>19.5</v>
      </c>
      <c r="M658" s="245">
        <v>16.399999999999999</v>
      </c>
      <c r="N658" s="245">
        <v>9.9</v>
      </c>
      <c r="O658" s="245">
        <v>1.6</v>
      </c>
      <c r="P658" s="245">
        <v>-9.5</v>
      </c>
      <c r="Q658" s="245">
        <v>-17.899999999999999</v>
      </c>
      <c r="R658" s="246">
        <v>0.3</v>
      </c>
      <c r="S658" s="233">
        <v>370</v>
      </c>
      <c r="T658" s="247" t="s">
        <v>930</v>
      </c>
      <c r="U658" s="245">
        <v>-44</v>
      </c>
      <c r="V658" s="245">
        <v>-42</v>
      </c>
      <c r="W658" s="245">
        <v>-41</v>
      </c>
      <c r="X658" s="245">
        <v>-40</v>
      </c>
      <c r="Y658" s="245">
        <v>-25</v>
      </c>
      <c r="Z658" s="245">
        <v>-47</v>
      </c>
      <c r="AA658" s="245">
        <v>10.8</v>
      </c>
      <c r="AB658" s="245">
        <v>165</v>
      </c>
      <c r="AC658" s="245">
        <v>-14.7</v>
      </c>
      <c r="AD658" s="245">
        <v>225</v>
      </c>
      <c r="AE658" s="245">
        <v>-9.6999999999999993</v>
      </c>
      <c r="AF658" s="245">
        <v>242</v>
      </c>
      <c r="AG658" s="245">
        <v>-8.4</v>
      </c>
      <c r="AH658" s="245">
        <v>79</v>
      </c>
      <c r="AI658" s="245">
        <v>75</v>
      </c>
      <c r="AJ658" s="245">
        <v>40</v>
      </c>
      <c r="AK658" s="245" t="s">
        <v>931</v>
      </c>
      <c r="AL658" s="245" t="s">
        <v>931</v>
      </c>
      <c r="AM658" s="246">
        <v>2.8</v>
      </c>
      <c r="AN658" s="235">
        <v>370</v>
      </c>
      <c r="AO658" s="247" t="s">
        <v>932</v>
      </c>
      <c r="AP658" s="247">
        <v>980</v>
      </c>
      <c r="AQ658" s="247">
        <v>23.8</v>
      </c>
      <c r="AR658" s="247">
        <v>28.1</v>
      </c>
      <c r="AS658" s="247">
        <v>26.2</v>
      </c>
      <c r="AT658" s="247">
        <v>38</v>
      </c>
      <c r="AU658" s="247">
        <v>12.9</v>
      </c>
      <c r="AV658" s="247">
        <v>68</v>
      </c>
      <c r="AW658" s="247">
        <v>51</v>
      </c>
      <c r="AX658" s="247">
        <v>282</v>
      </c>
      <c r="AY658" s="247">
        <v>76</v>
      </c>
      <c r="AZ658" s="247" t="s">
        <v>933</v>
      </c>
      <c r="BA658" s="248" t="s">
        <v>934</v>
      </c>
      <c r="BB658" s="235">
        <v>335</v>
      </c>
      <c r="BC658" s="247" t="s">
        <v>134</v>
      </c>
      <c r="BD658" s="247">
        <v>1.2</v>
      </c>
      <c r="BE658" s="247">
        <v>1.4</v>
      </c>
      <c r="BF658" s="247">
        <v>2.6</v>
      </c>
      <c r="BG658" s="247">
        <v>4.3</v>
      </c>
      <c r="BH658" s="247">
        <v>6.7</v>
      </c>
      <c r="BI658" s="247">
        <v>11.7</v>
      </c>
      <c r="BJ658" s="247">
        <v>15</v>
      </c>
      <c r="BK658" s="247">
        <v>13.2</v>
      </c>
      <c r="BL658" s="247">
        <v>8.8000000000000007</v>
      </c>
      <c r="BM658" s="247">
        <v>4.9000000000000004</v>
      </c>
      <c r="BN658" s="247">
        <v>2.5</v>
      </c>
      <c r="BO658" s="247">
        <v>1.6</v>
      </c>
      <c r="BP658" s="248">
        <v>6.2</v>
      </c>
    </row>
    <row r="659" spans="1:68" ht="14.25" customHeight="1">
      <c r="A659" s="233">
        <v>2</v>
      </c>
      <c r="B659" s="234">
        <v>169</v>
      </c>
      <c r="C659" s="244" t="s">
        <v>928</v>
      </c>
      <c r="D659" s="244" t="s">
        <v>935</v>
      </c>
      <c r="E659" s="244" t="s">
        <v>936</v>
      </c>
      <c r="F659" s="245">
        <v>-34.6</v>
      </c>
      <c r="G659" s="245">
        <v>-33.1</v>
      </c>
      <c r="H659" s="245">
        <v>-23.1</v>
      </c>
      <c r="I659" s="245">
        <v>-11.4</v>
      </c>
      <c r="J659" s="245">
        <v>-1.6</v>
      </c>
      <c r="K659" s="245">
        <v>7.7</v>
      </c>
      <c r="L659" s="245">
        <v>13.7</v>
      </c>
      <c r="M659" s="245">
        <v>10.6</v>
      </c>
      <c r="N659" s="245">
        <v>3.9</v>
      </c>
      <c r="O659" s="245">
        <v>-7.2</v>
      </c>
      <c r="P659" s="245">
        <v>-24.9</v>
      </c>
      <c r="Q659" s="245">
        <v>-31.9</v>
      </c>
      <c r="R659" s="246">
        <v>-11</v>
      </c>
      <c r="S659" s="233">
        <v>169</v>
      </c>
      <c r="T659" s="247" t="s">
        <v>937</v>
      </c>
      <c r="U659" s="245">
        <v>-57</v>
      </c>
      <c r="V659" s="245">
        <v>-55</v>
      </c>
      <c r="W659" s="245">
        <v>-54</v>
      </c>
      <c r="X659" s="245">
        <v>-53</v>
      </c>
      <c r="Y659" s="245">
        <v>-40</v>
      </c>
      <c r="Z659" s="245">
        <v>-59</v>
      </c>
      <c r="AA659" s="245">
        <v>11.9</v>
      </c>
      <c r="AB659" s="245">
        <v>237</v>
      </c>
      <c r="AC659" s="245">
        <v>-21.1</v>
      </c>
      <c r="AD659" s="245">
        <v>293</v>
      </c>
      <c r="AE659" s="245">
        <v>-16.3</v>
      </c>
      <c r="AF659" s="245">
        <v>312</v>
      </c>
      <c r="AG659" s="245">
        <v>-14.7</v>
      </c>
      <c r="AH659" s="245">
        <v>75</v>
      </c>
      <c r="AI659" s="245">
        <v>75</v>
      </c>
      <c r="AJ659" s="245">
        <v>130</v>
      </c>
      <c r="AK659" s="245" t="s">
        <v>938</v>
      </c>
      <c r="AL659" s="245" t="s">
        <v>931</v>
      </c>
      <c r="AM659" s="246">
        <v>2</v>
      </c>
      <c r="AN659" s="235">
        <v>169</v>
      </c>
      <c r="AO659" s="247" t="s">
        <v>939</v>
      </c>
      <c r="AP659" s="247">
        <v>975</v>
      </c>
      <c r="AQ659" s="247">
        <v>18</v>
      </c>
      <c r="AR659" s="247">
        <v>22.4</v>
      </c>
      <c r="AS659" s="247">
        <v>20.399999999999999</v>
      </c>
      <c r="AT659" s="247">
        <v>33</v>
      </c>
      <c r="AU659" s="247">
        <v>13.4</v>
      </c>
      <c r="AV659" s="247">
        <v>70</v>
      </c>
      <c r="AW659" s="247">
        <v>58</v>
      </c>
      <c r="AX659" s="247">
        <v>360</v>
      </c>
      <c r="AY659" s="247">
        <v>48</v>
      </c>
      <c r="AZ659" s="247" t="s">
        <v>940</v>
      </c>
      <c r="BA659" s="248" t="s">
        <v>934</v>
      </c>
      <c r="BB659" s="235">
        <v>148</v>
      </c>
      <c r="BC659" s="247" t="s">
        <v>936</v>
      </c>
      <c r="BD659" s="247">
        <v>0.4</v>
      </c>
      <c r="BE659" s="247">
        <v>0.5</v>
      </c>
      <c r="BF659" s="247">
        <v>1</v>
      </c>
      <c r="BG659" s="247">
        <v>2.1</v>
      </c>
      <c r="BH659" s="247">
        <v>3.8</v>
      </c>
      <c r="BI659" s="247">
        <v>7</v>
      </c>
      <c r="BJ659" s="247">
        <v>10.9</v>
      </c>
      <c r="BK659" s="247">
        <v>9.9</v>
      </c>
      <c r="BL659" s="247">
        <v>6.5</v>
      </c>
      <c r="BM659" s="247">
        <v>3.2</v>
      </c>
      <c r="BN659" s="247">
        <v>1</v>
      </c>
      <c r="BO659" s="247">
        <v>0.5</v>
      </c>
      <c r="BP659" s="248">
        <v>3.9</v>
      </c>
    </row>
    <row r="660" spans="1:68" ht="14.25" customHeight="1">
      <c r="A660" s="233">
        <v>3</v>
      </c>
      <c r="B660" s="234">
        <v>255</v>
      </c>
      <c r="C660" s="244" t="s">
        <v>928</v>
      </c>
      <c r="D660" s="244" t="s">
        <v>941</v>
      </c>
      <c r="E660" s="244" t="s">
        <v>942</v>
      </c>
      <c r="F660" s="245">
        <v>-20.3</v>
      </c>
      <c r="G660" s="245">
        <v>-15.8</v>
      </c>
      <c r="H660" s="245">
        <v>-7.1</v>
      </c>
      <c r="I660" s="245">
        <v>2.1</v>
      </c>
      <c r="J660" s="245">
        <v>8.3000000000000007</v>
      </c>
      <c r="K660" s="245">
        <v>13.3</v>
      </c>
      <c r="L660" s="245">
        <v>17.3</v>
      </c>
      <c r="M660" s="245">
        <v>17.2</v>
      </c>
      <c r="N660" s="245">
        <v>11.1</v>
      </c>
      <c r="O660" s="245">
        <v>2.9</v>
      </c>
      <c r="P660" s="245">
        <v>-8.4</v>
      </c>
      <c r="Q660" s="245">
        <v>-18</v>
      </c>
      <c r="R660" s="246">
        <v>0.2</v>
      </c>
      <c r="S660" s="233">
        <v>255</v>
      </c>
      <c r="T660" s="247" t="s">
        <v>943</v>
      </c>
      <c r="U660" s="245">
        <v>-34</v>
      </c>
      <c r="V660" s="245">
        <v>-32</v>
      </c>
      <c r="W660" s="245">
        <v>-30</v>
      </c>
      <c r="X660" s="245">
        <v>-28</v>
      </c>
      <c r="Y660" s="245">
        <v>-16</v>
      </c>
      <c r="Z660" s="245">
        <v>-43</v>
      </c>
      <c r="AA660" s="245">
        <v>16.100000000000001</v>
      </c>
      <c r="AB660" s="245">
        <v>165</v>
      </c>
      <c r="AC660" s="245">
        <v>-12.8</v>
      </c>
      <c r="AD660" s="245">
        <v>231</v>
      </c>
      <c r="AE660" s="245">
        <v>-7.9</v>
      </c>
      <c r="AF660" s="245">
        <v>249</v>
      </c>
      <c r="AG660" s="245">
        <v>-6.6</v>
      </c>
      <c r="AH660" s="245">
        <v>69</v>
      </c>
      <c r="AI660" s="245">
        <v>64</v>
      </c>
      <c r="AJ660" s="245">
        <v>116</v>
      </c>
      <c r="AK660" s="245" t="s">
        <v>944</v>
      </c>
      <c r="AL660" s="245" t="s">
        <v>931</v>
      </c>
      <c r="AM660" s="246">
        <v>1.4</v>
      </c>
      <c r="AN660" s="235">
        <v>255</v>
      </c>
      <c r="AO660" s="247" t="s">
        <v>945</v>
      </c>
      <c r="AP660" s="247">
        <v>1010</v>
      </c>
      <c r="AQ660" s="247">
        <v>22</v>
      </c>
      <c r="AR660" s="247">
        <v>27</v>
      </c>
      <c r="AS660" s="247">
        <v>24.9</v>
      </c>
      <c r="AT660" s="247">
        <v>37</v>
      </c>
      <c r="AU660" s="247">
        <v>13.2</v>
      </c>
      <c r="AV660" s="247">
        <v>81</v>
      </c>
      <c r="AW660" s="247">
        <v>71</v>
      </c>
      <c r="AX660" s="247">
        <v>527</v>
      </c>
      <c r="AY660" s="247">
        <v>105</v>
      </c>
      <c r="AZ660" s="247" t="s">
        <v>946</v>
      </c>
      <c r="BA660" s="248" t="s">
        <v>934</v>
      </c>
      <c r="BB660" s="235">
        <v>226</v>
      </c>
      <c r="BC660" s="247" t="s">
        <v>942</v>
      </c>
      <c r="BD660" s="247">
        <v>0.9</v>
      </c>
      <c r="BE660" s="247">
        <v>1.3</v>
      </c>
      <c r="BF660" s="247">
        <v>2.2999999999999998</v>
      </c>
      <c r="BG660" s="247">
        <v>4.3</v>
      </c>
      <c r="BH660" s="247">
        <v>6.9</v>
      </c>
      <c r="BI660" s="247">
        <v>11.4</v>
      </c>
      <c r="BJ660" s="247">
        <v>15.9</v>
      </c>
      <c r="BK660" s="247">
        <v>16.100000000000001</v>
      </c>
      <c r="BL660" s="247">
        <v>10.6</v>
      </c>
      <c r="BM660" s="247">
        <v>5.2</v>
      </c>
      <c r="BN660" s="247">
        <v>2.2999999999999998</v>
      </c>
      <c r="BO660" s="247">
        <v>1.1000000000000001</v>
      </c>
      <c r="BP660" s="248">
        <v>6.5</v>
      </c>
    </row>
    <row r="661" spans="1:68" ht="14.25" customHeight="1">
      <c r="A661" s="233">
        <v>4</v>
      </c>
      <c r="B661" s="234">
        <v>376</v>
      </c>
      <c r="C661" s="244" t="s">
        <v>928</v>
      </c>
      <c r="D661" s="244" t="s">
        <v>947</v>
      </c>
      <c r="E661" s="244" t="s">
        <v>948</v>
      </c>
      <c r="F661" s="245">
        <v>-23.3</v>
      </c>
      <c r="G661" s="245">
        <v>-20.399999999999999</v>
      </c>
      <c r="H661" s="245">
        <v>-11.5</v>
      </c>
      <c r="I661" s="245">
        <v>0.4</v>
      </c>
      <c r="J661" s="245">
        <v>8.8000000000000007</v>
      </c>
      <c r="K661" s="245">
        <v>15.6</v>
      </c>
      <c r="L661" s="245">
        <v>18.399999999999999</v>
      </c>
      <c r="M661" s="245">
        <v>15.5</v>
      </c>
      <c r="N661" s="245">
        <v>8.4</v>
      </c>
      <c r="O661" s="245">
        <v>-0.6</v>
      </c>
      <c r="P661" s="245">
        <v>-13</v>
      </c>
      <c r="Q661" s="245">
        <v>-21.3</v>
      </c>
      <c r="R661" s="246">
        <v>-1.9</v>
      </c>
      <c r="S661" s="233">
        <v>376</v>
      </c>
      <c r="T661" s="247" t="s">
        <v>949</v>
      </c>
      <c r="U661" s="245">
        <v>-42</v>
      </c>
      <c r="V661" s="245">
        <v>-38</v>
      </c>
      <c r="W661" s="245">
        <v>-40</v>
      </c>
      <c r="X661" s="245">
        <v>-36</v>
      </c>
      <c r="Y661" s="245">
        <v>-28</v>
      </c>
      <c r="Z661" s="245">
        <v>-48</v>
      </c>
      <c r="AA661" s="245">
        <v>13.9</v>
      </c>
      <c r="AB661" s="245">
        <v>182</v>
      </c>
      <c r="AC661" s="245">
        <v>-14.8</v>
      </c>
      <c r="AD661" s="245">
        <v>238</v>
      </c>
      <c r="AE661" s="245">
        <v>-10.4</v>
      </c>
      <c r="AF661" s="245">
        <v>255</v>
      </c>
      <c r="AG661" s="245">
        <v>-9.1</v>
      </c>
      <c r="AH661" s="245">
        <v>72</v>
      </c>
      <c r="AI661" s="245">
        <v>67</v>
      </c>
      <c r="AJ661" s="245">
        <v>19</v>
      </c>
      <c r="AK661" s="245" t="s">
        <v>950</v>
      </c>
      <c r="AL661" s="245" t="s">
        <v>931</v>
      </c>
      <c r="AM661" s="246">
        <v>2.9</v>
      </c>
      <c r="AN661" s="235">
        <v>376</v>
      </c>
      <c r="AO661" s="247" t="s">
        <v>951</v>
      </c>
      <c r="AP661" s="247">
        <v>930</v>
      </c>
      <c r="AQ661" s="247">
        <v>22.9</v>
      </c>
      <c r="AR661" s="247">
        <v>27</v>
      </c>
      <c r="AS661" s="247">
        <v>25.3</v>
      </c>
      <c r="AT661" s="247">
        <v>37</v>
      </c>
      <c r="AU661" s="247">
        <v>13.6</v>
      </c>
      <c r="AV661" s="247">
        <v>71</v>
      </c>
      <c r="AW661" s="247">
        <v>55</v>
      </c>
      <c r="AX661" s="247">
        <v>322</v>
      </c>
      <c r="AY661" s="247">
        <v>78</v>
      </c>
      <c r="AZ661" s="247" t="s">
        <v>952</v>
      </c>
      <c r="BA661" s="248" t="s">
        <v>934</v>
      </c>
      <c r="BB661" s="235">
        <v>341</v>
      </c>
      <c r="BC661" s="247" t="s">
        <v>948</v>
      </c>
      <c r="BD661" s="247">
        <v>0.8</v>
      </c>
      <c r="BE661" s="247">
        <v>0.9</v>
      </c>
      <c r="BF661" s="247">
        <v>1.7</v>
      </c>
      <c r="BG661" s="247">
        <v>3.1</v>
      </c>
      <c r="BH661" s="247">
        <v>5.2</v>
      </c>
      <c r="BI661" s="247">
        <v>10.199999999999999</v>
      </c>
      <c r="BJ661" s="247">
        <v>14.6</v>
      </c>
      <c r="BK661" s="247">
        <v>12.7</v>
      </c>
      <c r="BL661" s="247">
        <v>7.4</v>
      </c>
      <c r="BM661" s="247">
        <v>3.8</v>
      </c>
      <c r="BN661" s="247">
        <v>1.7</v>
      </c>
      <c r="BO661" s="247">
        <v>0.9</v>
      </c>
      <c r="BP661" s="248">
        <v>5.3</v>
      </c>
    </row>
    <row r="662" spans="1:68" ht="14.25" customHeight="1">
      <c r="A662" s="233">
        <v>5</v>
      </c>
      <c r="B662" s="234">
        <v>649</v>
      </c>
      <c r="C662" s="244" t="s">
        <v>953</v>
      </c>
      <c r="D662" s="244" t="s">
        <v>954</v>
      </c>
      <c r="E662" s="244" t="s">
        <v>955</v>
      </c>
      <c r="F662" s="245">
        <v>-3.6</v>
      </c>
      <c r="G662" s="245">
        <v>-3.1</v>
      </c>
      <c r="H662" s="245">
        <v>-0.6</v>
      </c>
      <c r="I662" s="245">
        <v>4.9000000000000004</v>
      </c>
      <c r="J662" s="245">
        <v>9.5</v>
      </c>
      <c r="K662" s="245">
        <v>12.9</v>
      </c>
      <c r="L662" s="245">
        <v>15.1</v>
      </c>
      <c r="M662" s="245">
        <v>14.7</v>
      </c>
      <c r="N662" s="245">
        <v>10.9</v>
      </c>
      <c r="O662" s="245">
        <v>6.5</v>
      </c>
      <c r="P662" s="245">
        <v>2.6</v>
      </c>
      <c r="Q662" s="245">
        <v>-1.5</v>
      </c>
      <c r="R662" s="246">
        <v>5.7</v>
      </c>
      <c r="S662" s="233">
        <v>638</v>
      </c>
      <c r="T662" s="247" t="s">
        <v>955</v>
      </c>
      <c r="U662" s="245">
        <v>-24</v>
      </c>
      <c r="V662" s="245">
        <v>-22</v>
      </c>
      <c r="W662" s="245">
        <v>-20</v>
      </c>
      <c r="X662" s="245">
        <v>-18</v>
      </c>
      <c r="Y662" s="245">
        <v>-6</v>
      </c>
      <c r="Z662" s="245">
        <v>-27</v>
      </c>
      <c r="AA662" s="245" t="s">
        <v>956</v>
      </c>
      <c r="AB662" s="245">
        <v>105</v>
      </c>
      <c r="AC662" s="245">
        <v>-2.6</v>
      </c>
      <c r="AD662" s="245">
        <v>209</v>
      </c>
      <c r="AE662" s="245">
        <v>0.7</v>
      </c>
      <c r="AF662" s="245">
        <v>237</v>
      </c>
      <c r="AG662" s="245">
        <v>1.7</v>
      </c>
      <c r="AH662" s="245" t="s">
        <v>956</v>
      </c>
      <c r="AI662" s="245" t="s">
        <v>956</v>
      </c>
      <c r="AJ662" s="245">
        <v>638</v>
      </c>
      <c r="AK662" s="245" t="s">
        <v>944</v>
      </c>
      <c r="AL662" s="245" t="s">
        <v>931</v>
      </c>
      <c r="AM662" s="246" t="s">
        <v>931</v>
      </c>
      <c r="AN662" s="235">
        <v>639</v>
      </c>
      <c r="AO662" s="247" t="s">
        <v>957</v>
      </c>
      <c r="AP662" s="247">
        <v>880</v>
      </c>
      <c r="AQ662" s="247">
        <v>23</v>
      </c>
      <c r="AR662" s="247">
        <v>19</v>
      </c>
      <c r="AS662" s="247">
        <v>20.399999999999999</v>
      </c>
      <c r="AT662" s="247">
        <v>30</v>
      </c>
      <c r="AU662" s="247" t="s">
        <v>934</v>
      </c>
      <c r="AV662" s="247" t="s">
        <v>958</v>
      </c>
      <c r="AW662" s="247" t="s">
        <v>931</v>
      </c>
      <c r="AX662" s="247" t="s">
        <v>931</v>
      </c>
      <c r="AY662" s="247">
        <v>215</v>
      </c>
      <c r="AZ662" s="247" t="s">
        <v>959</v>
      </c>
      <c r="BA662" s="248">
        <v>3.3</v>
      </c>
      <c r="BB662" s="235"/>
      <c r="BC662" s="247" t="s">
        <v>955</v>
      </c>
      <c r="BD662" s="247"/>
      <c r="BE662" s="247"/>
      <c r="BF662" s="247"/>
      <c r="BG662" s="247"/>
      <c r="BH662" s="247"/>
      <c r="BI662" s="247"/>
      <c r="BJ662" s="247"/>
      <c r="BK662" s="247"/>
      <c r="BL662" s="247"/>
      <c r="BM662" s="247"/>
      <c r="BN662" s="247"/>
      <c r="BO662" s="247"/>
      <c r="BP662" s="248"/>
    </row>
    <row r="663" spans="1:68" ht="14.25" customHeight="1">
      <c r="A663" s="233">
        <v>6</v>
      </c>
      <c r="B663" s="234">
        <v>498</v>
      </c>
      <c r="C663" s="244" t="s">
        <v>960</v>
      </c>
      <c r="D663" s="244" t="s">
        <v>961</v>
      </c>
      <c r="E663" s="244" t="s">
        <v>962</v>
      </c>
      <c r="F663" s="245">
        <v>-14.9</v>
      </c>
      <c r="G663" s="245">
        <v>-14.4</v>
      </c>
      <c r="H663" s="245">
        <v>-7.3</v>
      </c>
      <c r="I663" s="245">
        <v>5.9</v>
      </c>
      <c r="J663" s="245">
        <v>15</v>
      </c>
      <c r="K663" s="245">
        <v>20.2</v>
      </c>
      <c r="L663" s="245">
        <v>22.5</v>
      </c>
      <c r="M663" s="245">
        <v>20.399999999999999</v>
      </c>
      <c r="N663" s="245">
        <v>13.7</v>
      </c>
      <c r="O663" s="245">
        <v>4.5999999999999996</v>
      </c>
      <c r="P663" s="245">
        <v>-3.9</v>
      </c>
      <c r="Q663" s="245">
        <v>-11.3</v>
      </c>
      <c r="R663" s="246">
        <v>4.2</v>
      </c>
      <c r="S663" s="233">
        <v>498</v>
      </c>
      <c r="T663" s="247" t="s">
        <v>962</v>
      </c>
      <c r="U663" s="245">
        <v>-38</v>
      </c>
      <c r="V663" s="245">
        <v>-36</v>
      </c>
      <c r="W663" s="245">
        <v>-33</v>
      </c>
      <c r="X663" s="245">
        <v>-31</v>
      </c>
      <c r="Y663" s="245">
        <v>-22</v>
      </c>
      <c r="Z663" s="245">
        <v>-48</v>
      </c>
      <c r="AA663" s="245">
        <v>8.9</v>
      </c>
      <c r="AB663" s="245">
        <v>154</v>
      </c>
      <c r="AC663" s="245">
        <v>-10.1</v>
      </c>
      <c r="AD663" s="245">
        <v>200</v>
      </c>
      <c r="AE663" s="245">
        <v>-6.8</v>
      </c>
      <c r="AF663" s="245">
        <v>212</v>
      </c>
      <c r="AG663" s="245">
        <v>-5.9</v>
      </c>
      <c r="AH663" s="245">
        <v>80</v>
      </c>
      <c r="AI663" s="245" t="s">
        <v>956</v>
      </c>
      <c r="AJ663" s="245">
        <v>87</v>
      </c>
      <c r="AK663" s="245" t="s">
        <v>963</v>
      </c>
      <c r="AL663" s="245">
        <v>6.1</v>
      </c>
      <c r="AM663" s="246">
        <v>4.3</v>
      </c>
      <c r="AN663" s="235">
        <v>498</v>
      </c>
      <c r="AO663" s="247" t="s">
        <v>964</v>
      </c>
      <c r="AP663" s="247" t="s">
        <v>965</v>
      </c>
      <c r="AQ663" s="247">
        <v>27.3</v>
      </c>
      <c r="AR663" s="247">
        <v>31.7</v>
      </c>
      <c r="AS663" s="247">
        <v>29.2</v>
      </c>
      <c r="AT663" s="247">
        <v>42</v>
      </c>
      <c r="AU663" s="247">
        <v>13.9</v>
      </c>
      <c r="AV663" s="247">
        <v>51</v>
      </c>
      <c r="AW663" s="247" t="s">
        <v>931</v>
      </c>
      <c r="AX663" s="247">
        <v>192</v>
      </c>
      <c r="AY663" s="247" t="s">
        <v>965</v>
      </c>
      <c r="AZ663" s="247" t="s">
        <v>959</v>
      </c>
      <c r="BA663" s="248">
        <v>2.6</v>
      </c>
      <c r="BB663" s="235"/>
      <c r="BC663" s="247" t="s">
        <v>962</v>
      </c>
      <c r="BD663" s="247"/>
      <c r="BE663" s="247"/>
      <c r="BF663" s="247"/>
      <c r="BG663" s="247"/>
      <c r="BH663" s="247"/>
      <c r="BI663" s="247"/>
      <c r="BJ663" s="247"/>
      <c r="BK663" s="247"/>
      <c r="BL663" s="247"/>
      <c r="BM663" s="247"/>
      <c r="BN663" s="247"/>
      <c r="BO663" s="247"/>
      <c r="BP663" s="248"/>
    </row>
    <row r="664" spans="1:68" ht="14.25" customHeight="1">
      <c r="A664" s="233">
        <v>7</v>
      </c>
      <c r="B664" s="234">
        <v>377</v>
      </c>
      <c r="C664" s="244" t="s">
        <v>928</v>
      </c>
      <c r="D664" s="244" t="s">
        <v>947</v>
      </c>
      <c r="E664" s="244" t="s">
        <v>966</v>
      </c>
      <c r="F664" s="245">
        <v>-22.6</v>
      </c>
      <c r="G664" s="245">
        <v>-19.100000000000001</v>
      </c>
      <c r="H664" s="245">
        <v>-9.4</v>
      </c>
      <c r="I664" s="245">
        <v>1</v>
      </c>
      <c r="J664" s="245">
        <v>9</v>
      </c>
      <c r="K664" s="245">
        <v>15.4</v>
      </c>
      <c r="L664" s="245">
        <v>18.100000000000001</v>
      </c>
      <c r="M664" s="245">
        <v>15.5</v>
      </c>
      <c r="N664" s="245">
        <v>8.4</v>
      </c>
      <c r="O664" s="245">
        <v>-0.1</v>
      </c>
      <c r="P664" s="245">
        <v>-12.1</v>
      </c>
      <c r="Q664" s="245">
        <v>-20.3</v>
      </c>
      <c r="R664" s="246">
        <v>-1.4</v>
      </c>
      <c r="S664" s="233">
        <v>377</v>
      </c>
      <c r="T664" s="247" t="s">
        <v>967</v>
      </c>
      <c r="U664" s="245">
        <v>-41</v>
      </c>
      <c r="V664" s="245">
        <v>-38</v>
      </c>
      <c r="W664" s="245">
        <v>-36</v>
      </c>
      <c r="X664" s="245">
        <v>-34</v>
      </c>
      <c r="Y664" s="245">
        <v>-28</v>
      </c>
      <c r="Z664" s="245">
        <v>-47</v>
      </c>
      <c r="AA664" s="245">
        <v>14.7</v>
      </c>
      <c r="AB664" s="245">
        <v>179</v>
      </c>
      <c r="AC664" s="245">
        <v>-14</v>
      </c>
      <c r="AD664" s="245">
        <v>237</v>
      </c>
      <c r="AE664" s="245">
        <v>-9.6</v>
      </c>
      <c r="AF664" s="245">
        <v>254</v>
      </c>
      <c r="AG664" s="245">
        <v>-8.3000000000000007</v>
      </c>
      <c r="AH664" s="245">
        <v>73</v>
      </c>
      <c r="AI664" s="245">
        <v>65</v>
      </c>
      <c r="AJ664" s="245">
        <v>21</v>
      </c>
      <c r="AK664" s="245" t="s">
        <v>944</v>
      </c>
      <c r="AL664" s="245">
        <v>5.2</v>
      </c>
      <c r="AM664" s="246">
        <v>2.2000000000000002</v>
      </c>
      <c r="AN664" s="235">
        <v>377</v>
      </c>
      <c r="AO664" s="247" t="s">
        <v>968</v>
      </c>
      <c r="AP664" s="247">
        <v>930</v>
      </c>
      <c r="AQ664" s="247">
        <v>23.2</v>
      </c>
      <c r="AR664" s="247">
        <v>27.3</v>
      </c>
      <c r="AS664" s="247">
        <v>25.6</v>
      </c>
      <c r="AT664" s="247">
        <v>39</v>
      </c>
      <c r="AU664" s="247">
        <v>14.1</v>
      </c>
      <c r="AV664" s="247">
        <v>72</v>
      </c>
      <c r="AW664" s="247">
        <v>55</v>
      </c>
      <c r="AX664" s="247">
        <v>356</v>
      </c>
      <c r="AY664" s="247">
        <v>66</v>
      </c>
      <c r="AZ664" s="247" t="s">
        <v>959</v>
      </c>
      <c r="BA664" s="248">
        <v>0</v>
      </c>
      <c r="BB664" s="235">
        <v>342</v>
      </c>
      <c r="BC664" s="247" t="s">
        <v>966</v>
      </c>
      <c r="BD664" s="247">
        <v>0.8</v>
      </c>
      <c r="BE664" s="247">
        <v>1</v>
      </c>
      <c r="BF664" s="247">
        <v>1.8</v>
      </c>
      <c r="BG664" s="247">
        <v>3.1</v>
      </c>
      <c r="BH664" s="247">
        <v>5.2</v>
      </c>
      <c r="BI664" s="247">
        <v>10.3</v>
      </c>
      <c r="BJ664" s="247">
        <v>14.5</v>
      </c>
      <c r="BK664" s="247">
        <v>12.9</v>
      </c>
      <c r="BL664" s="247">
        <v>7.4</v>
      </c>
      <c r="BM664" s="247">
        <v>3.8</v>
      </c>
      <c r="BN664" s="247">
        <v>1.8</v>
      </c>
      <c r="BO664" s="247">
        <v>1.1000000000000001</v>
      </c>
      <c r="BP664" s="248">
        <v>5.3</v>
      </c>
    </row>
    <row r="665" spans="1:68" ht="14.25" customHeight="1">
      <c r="A665" s="233">
        <v>8</v>
      </c>
      <c r="B665" s="234">
        <v>400</v>
      </c>
      <c r="C665" s="244" t="s">
        <v>928</v>
      </c>
      <c r="D665" s="244" t="s">
        <v>969</v>
      </c>
      <c r="E665" s="244" t="s">
        <v>970</v>
      </c>
      <c r="F665" s="245">
        <v>-27.5</v>
      </c>
      <c r="G665" s="245">
        <v>-25.2</v>
      </c>
      <c r="H665" s="245">
        <v>-16.399999999999999</v>
      </c>
      <c r="I665" s="245">
        <v>-5.6</v>
      </c>
      <c r="J665" s="245">
        <v>3.9</v>
      </c>
      <c r="K665" s="245">
        <v>13</v>
      </c>
      <c r="L665" s="245">
        <v>16.7</v>
      </c>
      <c r="M665" s="245">
        <v>13.4</v>
      </c>
      <c r="N665" s="245">
        <v>5.2</v>
      </c>
      <c r="O665" s="245">
        <v>-6.3</v>
      </c>
      <c r="P665" s="245">
        <v>-19.7</v>
      </c>
      <c r="Q665" s="245">
        <v>-26.5</v>
      </c>
      <c r="R665" s="246">
        <v>-6.3</v>
      </c>
      <c r="S665" s="233">
        <v>400</v>
      </c>
      <c r="T665" s="247" t="s">
        <v>970</v>
      </c>
      <c r="U665" s="245">
        <v>-48</v>
      </c>
      <c r="V665" s="245">
        <v>-44</v>
      </c>
      <c r="W665" s="245">
        <v>-44</v>
      </c>
      <c r="X665" s="245">
        <v>-42</v>
      </c>
      <c r="Y665" s="245">
        <v>-33</v>
      </c>
      <c r="Z665" s="245">
        <v>-51</v>
      </c>
      <c r="AA665" s="245">
        <v>8</v>
      </c>
      <c r="AB665" s="245">
        <v>216</v>
      </c>
      <c r="AC665" s="245">
        <v>-17.399999999999999</v>
      </c>
      <c r="AD665" s="245">
        <v>267</v>
      </c>
      <c r="AE665" s="245">
        <v>-13.3</v>
      </c>
      <c r="AF665" s="245">
        <v>281</v>
      </c>
      <c r="AG665" s="245">
        <v>-12.2</v>
      </c>
      <c r="AH665" s="245">
        <v>78</v>
      </c>
      <c r="AI665" s="245">
        <v>78</v>
      </c>
      <c r="AJ665" s="245">
        <v>121</v>
      </c>
      <c r="AK665" s="245" t="s">
        <v>971</v>
      </c>
      <c r="AL665" s="245">
        <v>4.0999999999999996</v>
      </c>
      <c r="AM665" s="246">
        <v>2.8</v>
      </c>
      <c r="AN665" s="235">
        <v>400</v>
      </c>
      <c r="AO665" s="247" t="s">
        <v>972</v>
      </c>
      <c r="AP665" s="247">
        <v>925</v>
      </c>
      <c r="AQ665" s="247">
        <v>19.7</v>
      </c>
      <c r="AR665" s="247">
        <v>24.2</v>
      </c>
      <c r="AS665" s="247">
        <v>22.6</v>
      </c>
      <c r="AT665" s="247">
        <v>35</v>
      </c>
      <c r="AU665" s="247">
        <v>11.5</v>
      </c>
      <c r="AV665" s="247">
        <v>67</v>
      </c>
      <c r="AW665" s="247">
        <v>66</v>
      </c>
      <c r="AX665" s="247">
        <v>503</v>
      </c>
      <c r="AY665" s="247">
        <v>75</v>
      </c>
      <c r="AZ665" s="247" t="s">
        <v>973</v>
      </c>
      <c r="BA665" s="248">
        <v>0</v>
      </c>
      <c r="BB665" s="235">
        <v>364</v>
      </c>
      <c r="BC665" s="247" t="s">
        <v>970</v>
      </c>
      <c r="BD665" s="247">
        <v>0.6</v>
      </c>
      <c r="BE665" s="247">
        <v>0.7</v>
      </c>
      <c r="BF665" s="247">
        <v>1.4</v>
      </c>
      <c r="BG665" s="247">
        <v>2.7</v>
      </c>
      <c r="BH665" s="247">
        <v>5</v>
      </c>
      <c r="BI665" s="247">
        <v>9</v>
      </c>
      <c r="BJ665" s="247">
        <v>12.4</v>
      </c>
      <c r="BK665" s="247">
        <v>11.1</v>
      </c>
      <c r="BL665" s="247">
        <v>6.7</v>
      </c>
      <c r="BM665" s="247">
        <v>3.1</v>
      </c>
      <c r="BN665" s="247">
        <v>1.2</v>
      </c>
      <c r="BO665" s="247">
        <v>0.7</v>
      </c>
      <c r="BP665" s="248">
        <v>4.5999999999999996</v>
      </c>
    </row>
    <row r="666" spans="1:68" ht="14.25" customHeight="1">
      <c r="A666" s="233">
        <v>9</v>
      </c>
      <c r="B666" s="234">
        <v>2</v>
      </c>
      <c r="C666" s="244" t="s">
        <v>928</v>
      </c>
      <c r="D666" s="244" t="s">
        <v>974</v>
      </c>
      <c r="E666" s="244" t="s">
        <v>975</v>
      </c>
      <c r="F666" s="245">
        <v>-17.600000000000001</v>
      </c>
      <c r="G666" s="245">
        <v>-16.3</v>
      </c>
      <c r="H666" s="245">
        <v>-8.6999999999999993</v>
      </c>
      <c r="I666" s="245">
        <v>3.3</v>
      </c>
      <c r="J666" s="245">
        <v>12.2</v>
      </c>
      <c r="K666" s="245">
        <v>18.399999999999999</v>
      </c>
      <c r="L666" s="245">
        <v>20.3</v>
      </c>
      <c r="M666" s="245">
        <v>17.2</v>
      </c>
      <c r="N666" s="245">
        <v>11.3</v>
      </c>
      <c r="O666" s="245">
        <v>3.2</v>
      </c>
      <c r="P666" s="245">
        <v>-7.5</v>
      </c>
      <c r="Q666" s="245">
        <v>-15.1</v>
      </c>
      <c r="R666" s="246">
        <v>1.7</v>
      </c>
      <c r="S666" s="233">
        <v>2</v>
      </c>
      <c r="T666" s="247" t="s">
        <v>976</v>
      </c>
      <c r="U666" s="245">
        <v>-44</v>
      </c>
      <c r="V666" s="245">
        <v>-42</v>
      </c>
      <c r="W666" s="245">
        <v>-41</v>
      </c>
      <c r="X666" s="245">
        <v>-38</v>
      </c>
      <c r="Y666" s="245">
        <v>-23</v>
      </c>
      <c r="Z666" s="245">
        <v>-46</v>
      </c>
      <c r="AA666" s="245">
        <v>9.5</v>
      </c>
      <c r="AB666" s="245">
        <v>164</v>
      </c>
      <c r="AC666" s="245">
        <v>-11.5</v>
      </c>
      <c r="AD666" s="245">
        <v>216</v>
      </c>
      <c r="AE666" s="245">
        <v>-7.8</v>
      </c>
      <c r="AF666" s="245">
        <v>230</v>
      </c>
      <c r="AG666" s="245">
        <v>-6.7</v>
      </c>
      <c r="AH666" s="245">
        <v>80</v>
      </c>
      <c r="AI666" s="245">
        <v>78</v>
      </c>
      <c r="AJ666" s="245">
        <v>130</v>
      </c>
      <c r="AK666" s="245" t="s">
        <v>971</v>
      </c>
      <c r="AL666" s="245">
        <v>6.8</v>
      </c>
      <c r="AM666" s="246" t="s">
        <v>931</v>
      </c>
      <c r="AN666" s="235">
        <v>2</v>
      </c>
      <c r="AO666" s="247" t="s">
        <v>977</v>
      </c>
      <c r="AP666" s="247">
        <v>990</v>
      </c>
      <c r="AQ666" s="247">
        <v>24.5</v>
      </c>
      <c r="AR666" s="247">
        <v>28.6</v>
      </c>
      <c r="AS666" s="247">
        <v>26.9</v>
      </c>
      <c r="AT666" s="247">
        <v>41</v>
      </c>
      <c r="AU666" s="247">
        <v>12.9</v>
      </c>
      <c r="AV666" s="247">
        <v>68</v>
      </c>
      <c r="AW666" s="247">
        <v>51</v>
      </c>
      <c r="AX666" s="247">
        <v>314</v>
      </c>
      <c r="AY666" s="247">
        <v>85</v>
      </c>
      <c r="AZ666" s="247" t="s">
        <v>978</v>
      </c>
      <c r="BA666" s="248">
        <v>0</v>
      </c>
      <c r="BB666" s="235">
        <v>2</v>
      </c>
      <c r="BC666" s="247" t="s">
        <v>975</v>
      </c>
      <c r="BD666" s="247">
        <v>1.6</v>
      </c>
      <c r="BE666" s="247">
        <v>1.8</v>
      </c>
      <c r="BF666" s="247">
        <v>3</v>
      </c>
      <c r="BG666" s="247">
        <v>5.6</v>
      </c>
      <c r="BH666" s="247">
        <v>7.9</v>
      </c>
      <c r="BI666" s="247">
        <v>12.5</v>
      </c>
      <c r="BJ666" s="247">
        <v>15.6</v>
      </c>
      <c r="BK666" s="247">
        <v>13.3</v>
      </c>
      <c r="BL666" s="247">
        <v>9</v>
      </c>
      <c r="BM666" s="247">
        <v>5.7</v>
      </c>
      <c r="BN666" s="247">
        <v>3.3</v>
      </c>
      <c r="BO666" s="247">
        <v>2</v>
      </c>
      <c r="BP666" s="248">
        <v>6.8</v>
      </c>
    </row>
    <row r="667" spans="1:68" ht="14.25" customHeight="1">
      <c r="A667" s="233">
        <v>10</v>
      </c>
      <c r="B667" s="234">
        <v>284</v>
      </c>
      <c r="C667" s="244" t="s">
        <v>928</v>
      </c>
      <c r="D667" s="244" t="s">
        <v>979</v>
      </c>
      <c r="E667" s="244" t="s">
        <v>980</v>
      </c>
      <c r="F667" s="245">
        <v>-12.7</v>
      </c>
      <c r="G667" s="245">
        <v>-12.1</v>
      </c>
      <c r="H667" s="245">
        <v>-4.9000000000000004</v>
      </c>
      <c r="I667" s="245">
        <v>7.9</v>
      </c>
      <c r="J667" s="245">
        <v>16.3</v>
      </c>
      <c r="K667" s="245">
        <v>21</v>
      </c>
      <c r="L667" s="245">
        <v>23.6</v>
      </c>
      <c r="M667" s="245">
        <v>22</v>
      </c>
      <c r="N667" s="245">
        <v>14.9</v>
      </c>
      <c r="O667" s="245">
        <v>6.1</v>
      </c>
      <c r="P667" s="245">
        <v>-1.7</v>
      </c>
      <c r="Q667" s="245">
        <v>-8.3000000000000007</v>
      </c>
      <c r="R667" s="246">
        <v>6</v>
      </c>
      <c r="S667" s="233">
        <v>284</v>
      </c>
      <c r="T667" s="247" t="s">
        <v>981</v>
      </c>
      <c r="U667" s="245">
        <v>-31</v>
      </c>
      <c r="V667" s="245">
        <v>-30</v>
      </c>
      <c r="W667" s="245">
        <v>-29</v>
      </c>
      <c r="X667" s="245">
        <v>-28</v>
      </c>
      <c r="Y667" s="245">
        <v>-17</v>
      </c>
      <c r="Z667" s="245">
        <v>-40</v>
      </c>
      <c r="AA667" s="245">
        <v>8.3000000000000007</v>
      </c>
      <c r="AB667" s="245">
        <v>141</v>
      </c>
      <c r="AC667" s="245">
        <v>-8.3000000000000007</v>
      </c>
      <c r="AD667" s="245">
        <v>191</v>
      </c>
      <c r="AE667" s="245">
        <v>-5.2</v>
      </c>
      <c r="AF667" s="245">
        <v>204</v>
      </c>
      <c r="AG667" s="245">
        <v>-4.2</v>
      </c>
      <c r="AH667" s="245">
        <v>82</v>
      </c>
      <c r="AI667" s="245">
        <v>79</v>
      </c>
      <c r="AJ667" s="245">
        <v>127</v>
      </c>
      <c r="AK667" s="245" t="s">
        <v>982</v>
      </c>
      <c r="AL667" s="245" t="s">
        <v>931</v>
      </c>
      <c r="AM667" s="246">
        <v>4.9000000000000004</v>
      </c>
      <c r="AN667" s="235">
        <v>278</v>
      </c>
      <c r="AO667" s="247" t="s">
        <v>983</v>
      </c>
      <c r="AP667" s="247">
        <v>1015</v>
      </c>
      <c r="AQ667" s="247">
        <v>29</v>
      </c>
      <c r="AR667" s="247">
        <v>33</v>
      </c>
      <c r="AS667" s="247">
        <v>30.6</v>
      </c>
      <c r="AT667" s="247">
        <v>44</v>
      </c>
      <c r="AU667" s="247">
        <v>14.2</v>
      </c>
      <c r="AV667" s="247">
        <v>49</v>
      </c>
      <c r="AW667" s="247">
        <v>34</v>
      </c>
      <c r="AX667" s="247">
        <v>185</v>
      </c>
      <c r="AY667" s="247">
        <v>94</v>
      </c>
      <c r="AZ667" s="247" t="s">
        <v>959</v>
      </c>
      <c r="BA667" s="248" t="s">
        <v>934</v>
      </c>
      <c r="BB667" s="235">
        <v>249</v>
      </c>
      <c r="BC667" s="247" t="s">
        <v>980</v>
      </c>
      <c r="BD667" s="247">
        <v>2.5</v>
      </c>
      <c r="BE667" s="247">
        <v>2.7</v>
      </c>
      <c r="BF667" s="247">
        <v>4.2</v>
      </c>
      <c r="BG667" s="247">
        <v>7.1</v>
      </c>
      <c r="BH667" s="247">
        <v>9.3000000000000007</v>
      </c>
      <c r="BI667" s="247">
        <v>12</v>
      </c>
      <c r="BJ667" s="247">
        <v>13.4</v>
      </c>
      <c r="BK667" s="247">
        <v>12.2</v>
      </c>
      <c r="BL667" s="247">
        <v>9</v>
      </c>
      <c r="BM667" s="247">
        <v>6.8</v>
      </c>
      <c r="BN667" s="247">
        <v>5.2</v>
      </c>
      <c r="BO667" s="247">
        <v>3.6</v>
      </c>
      <c r="BP667" s="248">
        <v>7.3</v>
      </c>
    </row>
    <row r="668" spans="1:68" ht="14.25" customHeight="1">
      <c r="A668" s="233">
        <v>11</v>
      </c>
      <c r="B668" s="234">
        <v>378</v>
      </c>
      <c r="C668" s="244" t="s">
        <v>928</v>
      </c>
      <c r="D668" s="244" t="s">
        <v>947</v>
      </c>
      <c r="E668" s="244" t="s">
        <v>984</v>
      </c>
      <c r="F668" s="245">
        <v>-26.8</v>
      </c>
      <c r="G668" s="245">
        <v>-23.5</v>
      </c>
      <c r="H668" s="245">
        <v>-13.9</v>
      </c>
      <c r="I668" s="245">
        <v>-1.4</v>
      </c>
      <c r="J668" s="245">
        <v>7.4</v>
      </c>
      <c r="K668" s="245">
        <v>14.1</v>
      </c>
      <c r="L668" s="245">
        <v>16.7</v>
      </c>
      <c r="M668" s="245">
        <v>14.1</v>
      </c>
      <c r="N668" s="245">
        <v>7</v>
      </c>
      <c r="O668" s="245">
        <v>-2.4</v>
      </c>
      <c r="P668" s="245">
        <v>-15.5</v>
      </c>
      <c r="Q668" s="245">
        <v>-24.6</v>
      </c>
      <c r="R668" s="246">
        <v>-4.0999999999999996</v>
      </c>
      <c r="S668" s="233">
        <v>378</v>
      </c>
      <c r="T668" s="247" t="s">
        <v>985</v>
      </c>
      <c r="U668" s="245">
        <v>-43</v>
      </c>
      <c r="V668" s="245">
        <v>-41</v>
      </c>
      <c r="W668" s="245">
        <v>-40</v>
      </c>
      <c r="X668" s="245">
        <v>-38</v>
      </c>
      <c r="Y668" s="245">
        <v>-32</v>
      </c>
      <c r="Z668" s="245">
        <v>-48</v>
      </c>
      <c r="AA668" s="245">
        <v>12.1</v>
      </c>
      <c r="AB668" s="245">
        <v>194</v>
      </c>
      <c r="AC668" s="245">
        <v>-16.600000000000001</v>
      </c>
      <c r="AD668" s="245">
        <v>250</v>
      </c>
      <c r="AE668" s="245">
        <v>-12</v>
      </c>
      <c r="AF668" s="245">
        <v>267</v>
      </c>
      <c r="AG668" s="245">
        <v>-10.6</v>
      </c>
      <c r="AH668" s="245">
        <v>80</v>
      </c>
      <c r="AI668" s="245">
        <v>75</v>
      </c>
      <c r="AJ668" s="245">
        <v>38</v>
      </c>
      <c r="AK668" s="245" t="s">
        <v>971</v>
      </c>
      <c r="AL668" s="245" t="s">
        <v>931</v>
      </c>
      <c r="AM668" s="246" t="s">
        <v>931</v>
      </c>
      <c r="AN668" s="235">
        <v>378</v>
      </c>
      <c r="AO668" s="247" t="s">
        <v>986</v>
      </c>
      <c r="AP668" s="247">
        <v>920</v>
      </c>
      <c r="AQ668" s="247">
        <v>21.5</v>
      </c>
      <c r="AR668" s="247">
        <v>25.7</v>
      </c>
      <c r="AS668" s="247">
        <v>23.9</v>
      </c>
      <c r="AT668" s="247">
        <v>36</v>
      </c>
      <c r="AU668" s="247">
        <v>14.4</v>
      </c>
      <c r="AV668" s="247">
        <v>78</v>
      </c>
      <c r="AW668" s="247">
        <v>60</v>
      </c>
      <c r="AX668" s="247">
        <v>366</v>
      </c>
      <c r="AY668" s="247" t="s">
        <v>965</v>
      </c>
      <c r="AZ668" s="247" t="s">
        <v>978</v>
      </c>
      <c r="BA668" s="248" t="s">
        <v>934</v>
      </c>
      <c r="BB668" s="235"/>
      <c r="BC668" s="247" t="s">
        <v>984</v>
      </c>
      <c r="BD668" s="247"/>
      <c r="BE668" s="247"/>
      <c r="BF668" s="247"/>
      <c r="BG668" s="247"/>
      <c r="BH668" s="247"/>
      <c r="BI668" s="247"/>
      <c r="BJ668" s="247"/>
      <c r="BK668" s="247"/>
      <c r="BL668" s="247"/>
      <c r="BM668" s="247"/>
      <c r="BN668" s="247"/>
      <c r="BO668" s="247"/>
      <c r="BP668" s="248"/>
    </row>
    <row r="669" spans="1:68" ht="14.25" customHeight="1">
      <c r="A669" s="233">
        <v>12</v>
      </c>
      <c r="B669" s="234">
        <v>317</v>
      </c>
      <c r="C669" s="244" t="s">
        <v>928</v>
      </c>
      <c r="D669" s="244" t="s">
        <v>987</v>
      </c>
      <c r="E669" s="244" t="s">
        <v>988</v>
      </c>
      <c r="F669" s="245">
        <v>-21.5</v>
      </c>
      <c r="G669" s="245">
        <v>-19.600000000000001</v>
      </c>
      <c r="H669" s="245">
        <v>-12.1</v>
      </c>
      <c r="I669" s="245">
        <v>-1.7</v>
      </c>
      <c r="J669" s="245">
        <v>5.5</v>
      </c>
      <c r="K669" s="245">
        <v>13.7</v>
      </c>
      <c r="L669" s="245">
        <v>17.5</v>
      </c>
      <c r="M669" s="245">
        <v>13.7</v>
      </c>
      <c r="N669" s="245">
        <v>8</v>
      </c>
      <c r="O669" s="245">
        <v>-1.4</v>
      </c>
      <c r="P669" s="245">
        <v>-12.7</v>
      </c>
      <c r="Q669" s="245">
        <v>-19.600000000000001</v>
      </c>
      <c r="R669" s="246">
        <v>-2.5</v>
      </c>
      <c r="S669" s="233">
        <v>317</v>
      </c>
      <c r="T669" s="247" t="s">
        <v>989</v>
      </c>
      <c r="U669" s="245">
        <v>-49</v>
      </c>
      <c r="V669" s="245">
        <v>-46</v>
      </c>
      <c r="W669" s="245">
        <v>-44</v>
      </c>
      <c r="X669" s="245">
        <v>-42</v>
      </c>
      <c r="Y669" s="245">
        <v>-27</v>
      </c>
      <c r="Z669" s="245">
        <v>-51</v>
      </c>
      <c r="AA669" s="245">
        <v>9.1999999999999993</v>
      </c>
      <c r="AB669" s="245">
        <v>193</v>
      </c>
      <c r="AC669" s="245">
        <v>-13.6</v>
      </c>
      <c r="AD669" s="245">
        <v>252</v>
      </c>
      <c r="AE669" s="245">
        <v>-9.6</v>
      </c>
      <c r="AF669" s="245">
        <v>270</v>
      </c>
      <c r="AG669" s="245">
        <v>-8.3000000000000007</v>
      </c>
      <c r="AH669" s="245">
        <v>82</v>
      </c>
      <c r="AI669" s="245">
        <v>81</v>
      </c>
      <c r="AJ669" s="245">
        <v>110</v>
      </c>
      <c r="AK669" s="245" t="s">
        <v>990</v>
      </c>
      <c r="AL669" s="245">
        <v>4.3</v>
      </c>
      <c r="AM669" s="246">
        <v>3.9</v>
      </c>
      <c r="AN669" s="235">
        <v>317</v>
      </c>
      <c r="AO669" s="247" t="s">
        <v>991</v>
      </c>
      <c r="AP669" s="247">
        <v>1000</v>
      </c>
      <c r="AQ669" s="247">
        <v>20.3</v>
      </c>
      <c r="AR669" s="247">
        <v>24.6</v>
      </c>
      <c r="AS669" s="247">
        <v>22.7</v>
      </c>
      <c r="AT669" s="247">
        <v>35</v>
      </c>
      <c r="AU669" s="247">
        <v>10</v>
      </c>
      <c r="AV669" s="247">
        <v>73</v>
      </c>
      <c r="AW669" s="247">
        <v>60</v>
      </c>
      <c r="AX669" s="247">
        <v>402</v>
      </c>
      <c r="AY669" s="247">
        <v>61</v>
      </c>
      <c r="AZ669" s="247" t="s">
        <v>959</v>
      </c>
      <c r="BA669" s="248">
        <v>0</v>
      </c>
      <c r="BB669" s="235"/>
      <c r="BC669" s="247" t="s">
        <v>988</v>
      </c>
      <c r="BD669" s="247"/>
      <c r="BE669" s="247"/>
      <c r="BF669" s="247"/>
      <c r="BG669" s="247"/>
      <c r="BH669" s="247"/>
      <c r="BI669" s="247"/>
      <c r="BJ669" s="247"/>
      <c r="BK669" s="247"/>
      <c r="BL669" s="247"/>
      <c r="BM669" s="247"/>
      <c r="BN669" s="247"/>
      <c r="BO669" s="247"/>
      <c r="BP669" s="248"/>
    </row>
    <row r="670" spans="1:68" ht="14.25" customHeight="1">
      <c r="A670" s="233">
        <v>13</v>
      </c>
      <c r="B670" s="234">
        <v>287</v>
      </c>
      <c r="C670" s="244" t="s">
        <v>928</v>
      </c>
      <c r="D670" s="244" t="s">
        <v>992</v>
      </c>
      <c r="E670" s="244" t="s">
        <v>993</v>
      </c>
      <c r="F670" s="245">
        <v>-18</v>
      </c>
      <c r="G670" s="245">
        <v>-15.4</v>
      </c>
      <c r="H670" s="245">
        <v>-8.9</v>
      </c>
      <c r="I670" s="245">
        <v>-0.2</v>
      </c>
      <c r="J670" s="245">
        <v>5.5</v>
      </c>
      <c r="K670" s="245">
        <v>10.8</v>
      </c>
      <c r="L670" s="245">
        <v>15.3</v>
      </c>
      <c r="M670" s="245">
        <v>16.399999999999999</v>
      </c>
      <c r="N670" s="245">
        <v>12.2</v>
      </c>
      <c r="O670" s="245">
        <v>4.5999999999999996</v>
      </c>
      <c r="P670" s="245">
        <v>-4.9000000000000004</v>
      </c>
      <c r="Q670" s="245">
        <v>-13.3</v>
      </c>
      <c r="R670" s="246">
        <v>0.3</v>
      </c>
      <c r="S670" s="233">
        <v>287</v>
      </c>
      <c r="T670" s="247" t="s">
        <v>993</v>
      </c>
      <c r="U670" s="245">
        <v>-32</v>
      </c>
      <c r="V670" s="245">
        <v>-30</v>
      </c>
      <c r="W670" s="245">
        <v>-29</v>
      </c>
      <c r="X670" s="245">
        <v>-27</v>
      </c>
      <c r="Y670" s="245">
        <v>-23</v>
      </c>
      <c r="Z670" s="245">
        <v>-41</v>
      </c>
      <c r="AA670" s="245">
        <v>9</v>
      </c>
      <c r="AB670" s="245">
        <v>168</v>
      </c>
      <c r="AC670" s="245">
        <v>-10.7</v>
      </c>
      <c r="AD670" s="245">
        <v>240</v>
      </c>
      <c r="AE670" s="245">
        <v>-6.2</v>
      </c>
      <c r="AF670" s="245">
        <v>260</v>
      </c>
      <c r="AG670" s="245">
        <v>-5.0999999999999996</v>
      </c>
      <c r="AH670" s="245">
        <v>77</v>
      </c>
      <c r="AI670" s="245">
        <v>77</v>
      </c>
      <c r="AJ670" s="245">
        <v>209</v>
      </c>
      <c r="AK670" s="245" t="s">
        <v>990</v>
      </c>
      <c r="AL670" s="245">
        <v>7.8</v>
      </c>
      <c r="AM670" s="246">
        <v>5.2</v>
      </c>
      <c r="AN670" s="235">
        <v>281</v>
      </c>
      <c r="AO670" s="247" t="s">
        <v>994</v>
      </c>
      <c r="AP670" s="247">
        <v>1010</v>
      </c>
      <c r="AQ670" s="247">
        <v>17.899999999999999</v>
      </c>
      <c r="AR670" s="247">
        <v>20.9</v>
      </c>
      <c r="AS670" s="247">
        <v>20.5</v>
      </c>
      <c r="AT670" s="247">
        <v>31</v>
      </c>
      <c r="AU670" s="247">
        <v>8</v>
      </c>
      <c r="AV670" s="247">
        <v>81</v>
      </c>
      <c r="AW670" s="247">
        <v>76</v>
      </c>
      <c r="AX670" s="247">
        <v>455</v>
      </c>
      <c r="AY670" s="247">
        <v>77</v>
      </c>
      <c r="AZ670" s="247" t="s">
        <v>946</v>
      </c>
      <c r="BA670" s="248">
        <v>3.7</v>
      </c>
      <c r="BB670" s="235">
        <v>252</v>
      </c>
      <c r="BC670" s="247" t="s">
        <v>993</v>
      </c>
      <c r="BD670" s="247">
        <v>1.3</v>
      </c>
      <c r="BE670" s="247">
        <v>1.5</v>
      </c>
      <c r="BF670" s="247">
        <v>2.4</v>
      </c>
      <c r="BG670" s="247">
        <v>4.3</v>
      </c>
      <c r="BH670" s="247">
        <v>6.7</v>
      </c>
      <c r="BI670" s="247">
        <v>10.1</v>
      </c>
      <c r="BJ670" s="247">
        <v>14.7</v>
      </c>
      <c r="BK670" s="247">
        <v>12.6</v>
      </c>
      <c r="BL670" s="247">
        <v>8.9</v>
      </c>
      <c r="BM670" s="247">
        <v>4.8</v>
      </c>
      <c r="BN670" s="247">
        <v>2.5</v>
      </c>
      <c r="BO670" s="247">
        <v>1.5</v>
      </c>
      <c r="BP670" s="248">
        <v>5.9</v>
      </c>
    </row>
    <row r="671" spans="1:68" ht="14.25" customHeight="1">
      <c r="A671" s="233">
        <v>14</v>
      </c>
      <c r="B671" s="234">
        <v>401</v>
      </c>
      <c r="C671" s="244" t="s">
        <v>928</v>
      </c>
      <c r="D671" s="244" t="s">
        <v>969</v>
      </c>
      <c r="E671" s="244" t="s">
        <v>995</v>
      </c>
      <c r="F671" s="245">
        <v>-44.1</v>
      </c>
      <c r="G671" s="245">
        <v>-39.200000000000003</v>
      </c>
      <c r="H671" s="245">
        <v>-26.6</v>
      </c>
      <c r="I671" s="245">
        <v>-11.4</v>
      </c>
      <c r="J671" s="245">
        <v>2.2999999999999998</v>
      </c>
      <c r="K671" s="245">
        <v>10.9</v>
      </c>
      <c r="L671" s="245">
        <v>14.7</v>
      </c>
      <c r="M671" s="245">
        <v>11.4</v>
      </c>
      <c r="N671" s="245">
        <v>3.5</v>
      </c>
      <c r="O671" s="245">
        <v>-12.2</v>
      </c>
      <c r="P671" s="245">
        <v>-32.200000000000003</v>
      </c>
      <c r="Q671" s="245">
        <v>-42.7</v>
      </c>
      <c r="R671" s="246">
        <v>-13.8</v>
      </c>
      <c r="S671" s="233">
        <v>401</v>
      </c>
      <c r="T671" s="247" t="s">
        <v>995</v>
      </c>
      <c r="U671" s="245">
        <v>-57</v>
      </c>
      <c r="V671" s="245">
        <v>-56</v>
      </c>
      <c r="W671" s="245">
        <v>-55</v>
      </c>
      <c r="X671" s="245">
        <v>-54</v>
      </c>
      <c r="Y671" s="245">
        <v>-49</v>
      </c>
      <c r="Z671" s="245">
        <v>-59</v>
      </c>
      <c r="AA671" s="245">
        <v>9.1999999999999993</v>
      </c>
      <c r="AB671" s="245">
        <v>231</v>
      </c>
      <c r="AC671" s="245">
        <v>-27</v>
      </c>
      <c r="AD671" s="245">
        <v>280</v>
      </c>
      <c r="AE671" s="245">
        <v>-21.4</v>
      </c>
      <c r="AF671" s="245">
        <v>295</v>
      </c>
      <c r="AG671" s="245">
        <v>-19.899999999999999</v>
      </c>
      <c r="AH671" s="245">
        <v>75</v>
      </c>
      <c r="AI671" s="245">
        <v>75</v>
      </c>
      <c r="AJ671" s="245">
        <v>32</v>
      </c>
      <c r="AK671" s="245" t="s">
        <v>996</v>
      </c>
      <c r="AL671" s="245">
        <v>3.2</v>
      </c>
      <c r="AM671" s="246">
        <v>0.9</v>
      </c>
      <c r="AN671" s="235">
        <v>401</v>
      </c>
      <c r="AO671" s="247" t="s">
        <v>997</v>
      </c>
      <c r="AP671" s="247">
        <v>935</v>
      </c>
      <c r="AQ671" s="247">
        <v>19.8</v>
      </c>
      <c r="AR671" s="247">
        <v>24.1</v>
      </c>
      <c r="AS671" s="247">
        <v>22.2</v>
      </c>
      <c r="AT671" s="247">
        <v>33</v>
      </c>
      <c r="AU671" s="247">
        <v>16.2</v>
      </c>
      <c r="AV671" s="247">
        <v>69</v>
      </c>
      <c r="AW671" s="247">
        <v>51</v>
      </c>
      <c r="AX671" s="247">
        <v>280</v>
      </c>
      <c r="AY671" s="247">
        <v>52</v>
      </c>
      <c r="AZ671" s="247" t="s">
        <v>973</v>
      </c>
      <c r="BA671" s="248">
        <v>0</v>
      </c>
      <c r="BB671" s="235">
        <v>365</v>
      </c>
      <c r="BC671" s="247" t="s">
        <v>995</v>
      </c>
      <c r="BD671" s="247">
        <v>0.2</v>
      </c>
      <c r="BE671" s="247">
        <v>0.2</v>
      </c>
      <c r="BF671" s="247">
        <v>0.7</v>
      </c>
      <c r="BG671" s="247">
        <v>2.1</v>
      </c>
      <c r="BH671" s="247">
        <v>4.5</v>
      </c>
      <c r="BI671" s="247">
        <v>8.1</v>
      </c>
      <c r="BJ671" s="247">
        <v>14.2</v>
      </c>
      <c r="BK671" s="247">
        <v>15.2</v>
      </c>
      <c r="BL671" s="247">
        <v>11</v>
      </c>
      <c r="BM671" s="247">
        <v>6.3</v>
      </c>
      <c r="BN671" s="247">
        <v>3.2</v>
      </c>
      <c r="BO671" s="247">
        <v>1.9</v>
      </c>
      <c r="BP671" s="248">
        <v>6.5</v>
      </c>
    </row>
    <row r="672" spans="1:68" ht="14.25" customHeight="1">
      <c r="A672" s="233">
        <v>15</v>
      </c>
      <c r="B672" s="234">
        <v>502</v>
      </c>
      <c r="C672" s="244" t="s">
        <v>960</v>
      </c>
      <c r="D672" s="244" t="s">
        <v>998</v>
      </c>
      <c r="E672" s="244" t="s">
        <v>999</v>
      </c>
      <c r="F672" s="245">
        <v>-6.5</v>
      </c>
      <c r="G672" s="245">
        <v>-5.0999999999999996</v>
      </c>
      <c r="H672" s="245">
        <v>2</v>
      </c>
      <c r="I672" s="245">
        <v>10.8</v>
      </c>
      <c r="J672" s="245">
        <v>16.2</v>
      </c>
      <c r="K672" s="245">
        <v>20.7</v>
      </c>
      <c r="L672" s="245">
        <v>23.5</v>
      </c>
      <c r="M672" s="245">
        <v>22.3</v>
      </c>
      <c r="N672" s="245">
        <v>17</v>
      </c>
      <c r="O672" s="245">
        <v>9.5</v>
      </c>
      <c r="P672" s="245">
        <v>0.9</v>
      </c>
      <c r="Q672" s="245">
        <v>-4.5</v>
      </c>
      <c r="R672" s="246">
        <v>8.9</v>
      </c>
      <c r="S672" s="233">
        <v>502</v>
      </c>
      <c r="T672" s="247" t="s">
        <v>999</v>
      </c>
      <c r="U672" s="245">
        <v>-30</v>
      </c>
      <c r="V672" s="245">
        <v>-28</v>
      </c>
      <c r="W672" s="245">
        <v>-23</v>
      </c>
      <c r="X672" s="245">
        <v>-21</v>
      </c>
      <c r="Y672" s="245">
        <v>-11</v>
      </c>
      <c r="Z672" s="245" t="s">
        <v>931</v>
      </c>
      <c r="AA672" s="245">
        <v>9.8000000000000007</v>
      </c>
      <c r="AB672" s="245">
        <v>111</v>
      </c>
      <c r="AC672" s="245">
        <v>-4.5999999999999996</v>
      </c>
      <c r="AD672" s="245">
        <v>168</v>
      </c>
      <c r="AE672" s="245">
        <v>-1.6</v>
      </c>
      <c r="AF672" s="245">
        <v>182</v>
      </c>
      <c r="AG672" s="245">
        <v>-0.8</v>
      </c>
      <c r="AH672" s="245">
        <v>75</v>
      </c>
      <c r="AI672" s="245">
        <v>75</v>
      </c>
      <c r="AJ672" s="245">
        <v>213</v>
      </c>
      <c r="AK672" s="245" t="s">
        <v>963</v>
      </c>
      <c r="AL672" s="245">
        <v>1.3</v>
      </c>
      <c r="AM672" s="246">
        <v>1.1000000000000001</v>
      </c>
      <c r="AN672" s="235">
        <v>502</v>
      </c>
      <c r="AO672" s="247" t="s">
        <v>1000</v>
      </c>
      <c r="AP672" s="247">
        <v>920</v>
      </c>
      <c r="AQ672" s="247">
        <v>28.2</v>
      </c>
      <c r="AR672" s="247">
        <v>31.5</v>
      </c>
      <c r="AS672" s="247">
        <v>29.7</v>
      </c>
      <c r="AT672" s="247">
        <v>43</v>
      </c>
      <c r="AU672" s="247">
        <v>12.1</v>
      </c>
      <c r="AV672" s="247">
        <v>45</v>
      </c>
      <c r="AW672" s="247">
        <v>38</v>
      </c>
      <c r="AX672" s="247">
        <v>403</v>
      </c>
      <c r="AY672" s="247" t="s">
        <v>965</v>
      </c>
      <c r="AZ672" s="247" t="s">
        <v>973</v>
      </c>
      <c r="BA672" s="248">
        <v>1.6</v>
      </c>
      <c r="BB672" s="235">
        <v>285</v>
      </c>
      <c r="BC672" s="247" t="s">
        <v>999</v>
      </c>
      <c r="BD672" s="247">
        <v>1.2</v>
      </c>
      <c r="BE672" s="247">
        <v>1.3</v>
      </c>
      <c r="BF672" s="247">
        <v>2.2000000000000002</v>
      </c>
      <c r="BG672" s="247">
        <v>4</v>
      </c>
      <c r="BH672" s="247">
        <v>6.2</v>
      </c>
      <c r="BI672" s="247">
        <v>10.8</v>
      </c>
      <c r="BJ672" s="247">
        <v>11.2</v>
      </c>
      <c r="BK672" s="247">
        <v>10</v>
      </c>
      <c r="BL672" s="247">
        <v>6</v>
      </c>
      <c r="BM672" s="247">
        <v>2.2999999999999998</v>
      </c>
      <c r="BN672" s="247">
        <v>0.5</v>
      </c>
      <c r="BO672" s="247">
        <v>0.2</v>
      </c>
      <c r="BP672" s="248">
        <v>3.8</v>
      </c>
    </row>
    <row r="673" spans="1:68" ht="14.25" customHeight="1">
      <c r="A673" s="233">
        <v>16</v>
      </c>
      <c r="B673" s="234">
        <v>83</v>
      </c>
      <c r="C673" s="244" t="s">
        <v>928</v>
      </c>
      <c r="D673" s="244" t="s">
        <v>1001</v>
      </c>
      <c r="E673" s="244" t="s">
        <v>1002</v>
      </c>
      <c r="F673" s="245">
        <v>-16.7</v>
      </c>
      <c r="G673" s="245">
        <v>-14.6</v>
      </c>
      <c r="H673" s="245">
        <v>-7.8</v>
      </c>
      <c r="I673" s="245">
        <v>-0.2</v>
      </c>
      <c r="J673" s="245">
        <v>6.2</v>
      </c>
      <c r="K673" s="245">
        <v>12.2</v>
      </c>
      <c r="L673" s="245">
        <v>13.8</v>
      </c>
      <c r="M673" s="245">
        <v>12</v>
      </c>
      <c r="N673" s="245">
        <v>6.4</v>
      </c>
      <c r="O673" s="245">
        <v>0.1</v>
      </c>
      <c r="P673" s="245">
        <v>-8.9</v>
      </c>
      <c r="Q673" s="245">
        <v>-15.1</v>
      </c>
      <c r="R673" s="246">
        <v>-1.1000000000000001</v>
      </c>
      <c r="S673" s="233">
        <v>83</v>
      </c>
      <c r="T673" s="247" t="s">
        <v>1003</v>
      </c>
      <c r="U673" s="245">
        <v>-41</v>
      </c>
      <c r="V673" s="245">
        <v>-39</v>
      </c>
      <c r="W673" s="245">
        <v>-38</v>
      </c>
      <c r="X673" s="245">
        <v>-36</v>
      </c>
      <c r="Y673" s="245">
        <v>-22</v>
      </c>
      <c r="Z673" s="245">
        <v>-47</v>
      </c>
      <c r="AA673" s="245">
        <v>11.3</v>
      </c>
      <c r="AB673" s="245">
        <v>187</v>
      </c>
      <c r="AC673" s="245">
        <v>-10.8</v>
      </c>
      <c r="AD673" s="245">
        <v>264</v>
      </c>
      <c r="AE673" s="245">
        <v>-6.4</v>
      </c>
      <c r="AF673" s="245">
        <v>284</v>
      </c>
      <c r="AG673" s="245">
        <v>-5.3</v>
      </c>
      <c r="AH673" s="245">
        <v>64</v>
      </c>
      <c r="AI673" s="245">
        <v>59</v>
      </c>
      <c r="AJ673" s="245">
        <v>63</v>
      </c>
      <c r="AK673" s="245" t="s">
        <v>963</v>
      </c>
      <c r="AL673" s="245">
        <v>3.8</v>
      </c>
      <c r="AM673" s="246" t="s">
        <v>931</v>
      </c>
      <c r="AN673" s="235">
        <v>83</v>
      </c>
      <c r="AO673" s="247" t="s">
        <v>1004</v>
      </c>
      <c r="AP673" s="247">
        <v>920</v>
      </c>
      <c r="AQ673" s="247">
        <v>19.899999999999999</v>
      </c>
      <c r="AR673" s="247">
        <v>24.2</v>
      </c>
      <c r="AS673" s="247">
        <v>22.3</v>
      </c>
      <c r="AT673" s="247">
        <v>35</v>
      </c>
      <c r="AU673" s="247">
        <v>14.6</v>
      </c>
      <c r="AV673" s="247">
        <v>78</v>
      </c>
      <c r="AW673" s="247">
        <v>55</v>
      </c>
      <c r="AX673" s="247">
        <v>565</v>
      </c>
      <c r="AY673" s="247">
        <v>56</v>
      </c>
      <c r="AZ673" s="247" t="s">
        <v>1005</v>
      </c>
      <c r="BA673" s="248" t="s">
        <v>934</v>
      </c>
      <c r="BB673" s="235">
        <v>67</v>
      </c>
      <c r="BC673" s="247" t="s">
        <v>1002</v>
      </c>
      <c r="BD673" s="247">
        <v>1.1000000000000001</v>
      </c>
      <c r="BE673" s="247">
        <v>1.3</v>
      </c>
      <c r="BF673" s="247">
        <v>1.9</v>
      </c>
      <c r="BG673" s="247">
        <v>3.1</v>
      </c>
      <c r="BH673" s="247">
        <v>5.0999999999999996</v>
      </c>
      <c r="BI673" s="247">
        <v>9.4</v>
      </c>
      <c r="BJ673" s="247">
        <v>12.3</v>
      </c>
      <c r="BK673" s="247">
        <v>10.9</v>
      </c>
      <c r="BL673" s="247">
        <v>6.6</v>
      </c>
      <c r="BM673" s="247">
        <v>3.6</v>
      </c>
      <c r="BN673" s="247">
        <v>1.9</v>
      </c>
      <c r="BO673" s="247">
        <v>1.3</v>
      </c>
      <c r="BP673" s="248">
        <v>4.9000000000000004</v>
      </c>
    </row>
    <row r="674" spans="1:68" ht="14.25" customHeight="1">
      <c r="A674" s="233">
        <v>17</v>
      </c>
      <c r="B674" s="234">
        <v>535</v>
      </c>
      <c r="C674" s="244" t="s">
        <v>960</v>
      </c>
      <c r="D674" s="244" t="s">
        <v>1006</v>
      </c>
      <c r="E674" s="244" t="s">
        <v>1007</v>
      </c>
      <c r="F674" s="245">
        <v>-16.5</v>
      </c>
      <c r="G674" s="245">
        <v>-16.3</v>
      </c>
      <c r="H674" s="245">
        <v>-8.8000000000000007</v>
      </c>
      <c r="I674" s="245">
        <v>6.1</v>
      </c>
      <c r="J674" s="245">
        <v>15.1</v>
      </c>
      <c r="K674" s="245">
        <v>20.7</v>
      </c>
      <c r="L674" s="245">
        <v>23</v>
      </c>
      <c r="M674" s="245">
        <v>20.3</v>
      </c>
      <c r="N674" s="245">
        <v>13.6</v>
      </c>
      <c r="O674" s="245">
        <v>4.0999999999999996</v>
      </c>
      <c r="P674" s="245">
        <v>-5.2</v>
      </c>
      <c r="Q674" s="245">
        <v>-12.8</v>
      </c>
      <c r="R674" s="246">
        <v>3.6</v>
      </c>
      <c r="S674" s="233">
        <v>535</v>
      </c>
      <c r="T674" s="247" t="s">
        <v>1007</v>
      </c>
      <c r="U674" s="245">
        <v>-40</v>
      </c>
      <c r="V674" s="245">
        <v>-37</v>
      </c>
      <c r="W674" s="245">
        <v>-37</v>
      </c>
      <c r="X674" s="245">
        <v>-33</v>
      </c>
      <c r="Y674" s="245" t="s">
        <v>956</v>
      </c>
      <c r="Z674" s="245">
        <v>-45</v>
      </c>
      <c r="AA674" s="245">
        <v>9.1999999999999993</v>
      </c>
      <c r="AB674" s="245">
        <v>157</v>
      </c>
      <c r="AC674" s="245">
        <v>-11.4</v>
      </c>
      <c r="AD674" s="245">
        <v>200</v>
      </c>
      <c r="AE674" s="245">
        <v>-8</v>
      </c>
      <c r="AF674" s="245">
        <v>211</v>
      </c>
      <c r="AG674" s="245">
        <v>-7.1</v>
      </c>
      <c r="AH674" s="245">
        <v>81</v>
      </c>
      <c r="AI674" s="245" t="s">
        <v>956</v>
      </c>
      <c r="AJ674" s="245">
        <v>92</v>
      </c>
      <c r="AK674" s="245" t="s">
        <v>938</v>
      </c>
      <c r="AL674" s="245">
        <v>7.3</v>
      </c>
      <c r="AM674" s="246">
        <v>4.8</v>
      </c>
      <c r="AN674" s="235">
        <v>535</v>
      </c>
      <c r="AO674" s="247" t="s">
        <v>1008</v>
      </c>
      <c r="AP674" s="247" t="s">
        <v>965</v>
      </c>
      <c r="AQ674" s="247" t="s">
        <v>958</v>
      </c>
      <c r="AR674" s="247" t="s">
        <v>931</v>
      </c>
      <c r="AS674" s="247">
        <v>30.3</v>
      </c>
      <c r="AT674" s="247">
        <v>42</v>
      </c>
      <c r="AU674" s="247">
        <v>14.9</v>
      </c>
      <c r="AV674" s="247">
        <v>50</v>
      </c>
      <c r="AW674" s="247" t="s">
        <v>931</v>
      </c>
      <c r="AX674" s="247">
        <v>149</v>
      </c>
      <c r="AY674" s="247" t="s">
        <v>965</v>
      </c>
      <c r="AZ674" s="247" t="s">
        <v>940</v>
      </c>
      <c r="BA674" s="248">
        <v>4.4000000000000004</v>
      </c>
      <c r="BB674" s="235"/>
      <c r="BC674" s="247" t="s">
        <v>1007</v>
      </c>
      <c r="BD674" s="247"/>
      <c r="BE674" s="247"/>
      <c r="BF674" s="247"/>
      <c r="BG674" s="247"/>
      <c r="BH674" s="247"/>
      <c r="BI674" s="247"/>
      <c r="BJ674" s="247"/>
      <c r="BK674" s="247"/>
      <c r="BL674" s="247"/>
      <c r="BM674" s="247"/>
      <c r="BN674" s="247"/>
      <c r="BO674" s="247"/>
      <c r="BP674" s="248"/>
    </row>
    <row r="675" spans="1:68" ht="14.25" customHeight="1">
      <c r="A675" s="233">
        <v>18</v>
      </c>
      <c r="B675" s="234">
        <v>402</v>
      </c>
      <c r="C675" s="244" t="s">
        <v>928</v>
      </c>
      <c r="D675" s="244" t="s">
        <v>969</v>
      </c>
      <c r="E675" s="244" t="s">
        <v>1009</v>
      </c>
      <c r="F675" s="245">
        <v>-42.9</v>
      </c>
      <c r="G675" s="245">
        <v>-38</v>
      </c>
      <c r="H675" s="245">
        <v>-24</v>
      </c>
      <c r="I675" s="245">
        <v>-7.5</v>
      </c>
      <c r="J675" s="245">
        <v>6.1</v>
      </c>
      <c r="K675" s="245">
        <v>14.5</v>
      </c>
      <c r="L675" s="245">
        <v>17.7</v>
      </c>
      <c r="M675" s="245">
        <v>14.1</v>
      </c>
      <c r="N675" s="245">
        <v>5.3</v>
      </c>
      <c r="O675" s="245">
        <v>-8.9</v>
      </c>
      <c r="P675" s="245">
        <v>-29.6</v>
      </c>
      <c r="Q675" s="245">
        <v>-40.6</v>
      </c>
      <c r="R675" s="246">
        <v>-11.2</v>
      </c>
      <c r="S675" s="233">
        <v>402</v>
      </c>
      <c r="T675" s="247" t="s">
        <v>1009</v>
      </c>
      <c r="U675" s="245">
        <v>-59</v>
      </c>
      <c r="V675" s="245">
        <v>-58</v>
      </c>
      <c r="W675" s="245">
        <v>-57</v>
      </c>
      <c r="X675" s="245">
        <v>-55</v>
      </c>
      <c r="Y675" s="245">
        <v>-48</v>
      </c>
      <c r="Z675" s="245">
        <v>-63</v>
      </c>
      <c r="AA675" s="245">
        <v>8.9</v>
      </c>
      <c r="AB675" s="245">
        <v>217</v>
      </c>
      <c r="AC675" s="245">
        <v>-26.1</v>
      </c>
      <c r="AD675" s="245">
        <v>259</v>
      </c>
      <c r="AE675" s="245">
        <v>-21.3</v>
      </c>
      <c r="AF675" s="245">
        <v>273</v>
      </c>
      <c r="AG675" s="245">
        <v>-19.7</v>
      </c>
      <c r="AH675" s="245">
        <v>76</v>
      </c>
      <c r="AI675" s="245">
        <v>76</v>
      </c>
      <c r="AJ675" s="245">
        <v>58</v>
      </c>
      <c r="AK675" s="245" t="s">
        <v>950</v>
      </c>
      <c r="AL675" s="245">
        <v>2.5</v>
      </c>
      <c r="AM675" s="246">
        <v>1.6</v>
      </c>
      <c r="AN675" s="235">
        <v>402</v>
      </c>
      <c r="AO675" s="247" t="s">
        <v>1010</v>
      </c>
      <c r="AP675" s="247">
        <v>990</v>
      </c>
      <c r="AQ675" s="247">
        <v>23</v>
      </c>
      <c r="AR675" s="247">
        <v>27.1</v>
      </c>
      <c r="AS675" s="247">
        <v>25.4</v>
      </c>
      <c r="AT675" s="247">
        <v>39</v>
      </c>
      <c r="AU675" s="247">
        <v>16</v>
      </c>
      <c r="AV675" s="247">
        <v>66</v>
      </c>
      <c r="AW675" s="247">
        <v>48</v>
      </c>
      <c r="AX675" s="247">
        <v>198</v>
      </c>
      <c r="AY675" s="247">
        <v>66</v>
      </c>
      <c r="AZ675" s="247" t="s">
        <v>952</v>
      </c>
      <c r="BA675" s="248">
        <v>0</v>
      </c>
      <c r="BB675" s="235">
        <v>366</v>
      </c>
      <c r="BC675" s="247" t="s">
        <v>1009</v>
      </c>
      <c r="BD675" s="247">
        <v>0.1</v>
      </c>
      <c r="BE675" s="247">
        <v>0.3</v>
      </c>
      <c r="BF675" s="247">
        <v>0.9</v>
      </c>
      <c r="BG675" s="247">
        <v>2.6</v>
      </c>
      <c r="BH675" s="247">
        <v>5.4</v>
      </c>
      <c r="BI675" s="247">
        <v>9.9</v>
      </c>
      <c r="BJ675" s="247">
        <v>12.9</v>
      </c>
      <c r="BK675" s="247">
        <v>11.4</v>
      </c>
      <c r="BL675" s="247">
        <v>6.7</v>
      </c>
      <c r="BM675" s="247">
        <v>2.9</v>
      </c>
      <c r="BN675" s="247">
        <v>0.7</v>
      </c>
      <c r="BO675" s="247">
        <v>0.2</v>
      </c>
      <c r="BP675" s="248">
        <v>4.5</v>
      </c>
    </row>
    <row r="676" spans="1:68" ht="14.25" customHeight="1">
      <c r="A676" s="233">
        <v>19</v>
      </c>
      <c r="B676" s="234">
        <v>393</v>
      </c>
      <c r="C676" s="244" t="s">
        <v>928</v>
      </c>
      <c r="D676" s="244" t="s">
        <v>1011</v>
      </c>
      <c r="E676" s="244" t="s">
        <v>1012</v>
      </c>
      <c r="F676" s="245">
        <v>-19.7</v>
      </c>
      <c r="G676" s="245">
        <v>-22.3</v>
      </c>
      <c r="H676" s="245">
        <v>-20.6</v>
      </c>
      <c r="I676" s="245">
        <v>-12.9</v>
      </c>
      <c r="J676" s="245">
        <v>-3</v>
      </c>
      <c r="K676" s="245">
        <v>5.4</v>
      </c>
      <c r="L676" s="245">
        <v>10.6</v>
      </c>
      <c r="M676" s="245">
        <v>9.5</v>
      </c>
      <c r="N676" s="245">
        <v>3.9</v>
      </c>
      <c r="O676" s="245">
        <v>-5.9</v>
      </c>
      <c r="P676" s="245">
        <v>-14.6</v>
      </c>
      <c r="Q676" s="245">
        <v>-21</v>
      </c>
      <c r="R676" s="246">
        <v>-7.6</v>
      </c>
      <c r="S676" s="233">
        <v>393</v>
      </c>
      <c r="T676" s="247" t="s">
        <v>1013</v>
      </c>
      <c r="U676" s="245">
        <v>-43</v>
      </c>
      <c r="V676" s="245">
        <v>-42</v>
      </c>
      <c r="W676" s="245">
        <v>-42</v>
      </c>
      <c r="X676" s="245">
        <v>-40</v>
      </c>
      <c r="Y676" s="245">
        <v>-27</v>
      </c>
      <c r="Z676" s="245">
        <v>-45</v>
      </c>
      <c r="AA676" s="245">
        <v>7.7</v>
      </c>
      <c r="AB676" s="245">
        <v>241</v>
      </c>
      <c r="AC676" s="245">
        <v>-14.7</v>
      </c>
      <c r="AD676" s="245">
        <v>311</v>
      </c>
      <c r="AE676" s="245">
        <v>-10.5</v>
      </c>
      <c r="AF676" s="245">
        <v>345</v>
      </c>
      <c r="AG676" s="245">
        <v>-8.5</v>
      </c>
      <c r="AH676" s="245">
        <v>81</v>
      </c>
      <c r="AI676" s="245">
        <v>81</v>
      </c>
      <c r="AJ676" s="245">
        <v>140</v>
      </c>
      <c r="AK676" s="245" t="s">
        <v>944</v>
      </c>
      <c r="AL676" s="245">
        <v>11.4</v>
      </c>
      <c r="AM676" s="246">
        <v>6.7</v>
      </c>
      <c r="AN676" s="235">
        <v>393</v>
      </c>
      <c r="AO676" s="247" t="s">
        <v>1014</v>
      </c>
      <c r="AP676" s="247">
        <v>1000</v>
      </c>
      <c r="AQ676" s="247">
        <v>12.6</v>
      </c>
      <c r="AR676" s="247">
        <v>16.5</v>
      </c>
      <c r="AS676" s="247">
        <v>14.7</v>
      </c>
      <c r="AT676" s="247">
        <v>28</v>
      </c>
      <c r="AU676" s="247">
        <v>7</v>
      </c>
      <c r="AV676" s="247">
        <v>81</v>
      </c>
      <c r="AW676" s="247">
        <v>81</v>
      </c>
      <c r="AX676" s="247">
        <v>191</v>
      </c>
      <c r="AY676" s="247">
        <v>45</v>
      </c>
      <c r="AZ676" s="247" t="s">
        <v>946</v>
      </c>
      <c r="BA676" s="248">
        <v>5.7</v>
      </c>
      <c r="BB676" s="235">
        <v>357</v>
      </c>
      <c r="BC676" s="247" t="s">
        <v>1012</v>
      </c>
      <c r="BD676" s="247">
        <v>1.7</v>
      </c>
      <c r="BE676" s="247">
        <v>1.2</v>
      </c>
      <c r="BF676" s="247">
        <v>1.3</v>
      </c>
      <c r="BG676" s="247">
        <v>2.2000000000000002</v>
      </c>
      <c r="BH676" s="247">
        <v>4.4000000000000004</v>
      </c>
      <c r="BI676" s="247">
        <v>7.3</v>
      </c>
      <c r="BJ676" s="247">
        <v>10.4</v>
      </c>
      <c r="BK676" s="247">
        <v>9.9</v>
      </c>
      <c r="BL676" s="247">
        <v>6.8</v>
      </c>
      <c r="BM676" s="247">
        <v>3.6</v>
      </c>
      <c r="BN676" s="247">
        <v>2.1</v>
      </c>
      <c r="BO676" s="247">
        <v>1.5</v>
      </c>
      <c r="BP676" s="248">
        <v>4.4000000000000004</v>
      </c>
    </row>
    <row r="677" spans="1:68" ht="14.25" customHeight="1">
      <c r="A677" s="233">
        <v>20</v>
      </c>
      <c r="B677" s="234">
        <v>582</v>
      </c>
      <c r="C677" s="244" t="s">
        <v>1015</v>
      </c>
      <c r="D677" s="244" t="s">
        <v>1016</v>
      </c>
      <c r="E677" s="244" t="s">
        <v>1017</v>
      </c>
      <c r="F677" s="245">
        <v>-2.2000000000000002</v>
      </c>
      <c r="G677" s="245">
        <v>1.2</v>
      </c>
      <c r="H677" s="245">
        <v>8.1</v>
      </c>
      <c r="I677" s="245">
        <v>16.100000000000001</v>
      </c>
      <c r="J677" s="245">
        <v>21.4</v>
      </c>
      <c r="K677" s="245">
        <v>25.7</v>
      </c>
      <c r="L677" s="245">
        <v>27.2</v>
      </c>
      <c r="M677" s="245">
        <v>25</v>
      </c>
      <c r="N677" s="245">
        <v>19.8</v>
      </c>
      <c r="O677" s="245">
        <v>13.1</v>
      </c>
      <c r="P677" s="245">
        <v>5.6</v>
      </c>
      <c r="Q677" s="245">
        <v>0.5</v>
      </c>
      <c r="R677" s="246">
        <v>13.5</v>
      </c>
      <c r="S677" s="233">
        <v>571</v>
      </c>
      <c r="T677" s="247" t="s">
        <v>1017</v>
      </c>
      <c r="U677" s="245">
        <v>-19</v>
      </c>
      <c r="V677" s="245">
        <v>-16</v>
      </c>
      <c r="W677" s="245">
        <v>-16</v>
      </c>
      <c r="X677" s="245" t="s">
        <v>965</v>
      </c>
      <c r="Y677" s="245">
        <v>-5</v>
      </c>
      <c r="Z677" s="245">
        <v>-28</v>
      </c>
      <c r="AA677" s="245">
        <v>9.1</v>
      </c>
      <c r="AB677" s="245">
        <v>52</v>
      </c>
      <c r="AC677" s="245" t="s">
        <v>958</v>
      </c>
      <c r="AD677" s="245">
        <v>130</v>
      </c>
      <c r="AE677" s="245">
        <v>1.6</v>
      </c>
      <c r="AF677" s="245" t="s">
        <v>933</v>
      </c>
      <c r="AG677" s="245" t="s">
        <v>931</v>
      </c>
      <c r="AH677" s="245" t="s">
        <v>956</v>
      </c>
      <c r="AI677" s="245" t="s">
        <v>956</v>
      </c>
      <c r="AJ677" s="245" t="s">
        <v>1018</v>
      </c>
      <c r="AK677" s="245" t="s">
        <v>931</v>
      </c>
      <c r="AL677" s="245">
        <v>2.1</v>
      </c>
      <c r="AM677" s="246" t="s">
        <v>931</v>
      </c>
      <c r="AN677" s="235">
        <v>572</v>
      </c>
      <c r="AO677" s="247" t="s">
        <v>1019</v>
      </c>
      <c r="AP677" s="247">
        <v>970</v>
      </c>
      <c r="AQ677" s="247">
        <v>32.5</v>
      </c>
      <c r="AR677" s="247">
        <v>36.4</v>
      </c>
      <c r="AS677" s="247">
        <v>35.1</v>
      </c>
      <c r="AT677" s="247">
        <v>42</v>
      </c>
      <c r="AU677" s="247">
        <v>15.5</v>
      </c>
      <c r="AV677" s="247" t="s">
        <v>958</v>
      </c>
      <c r="AW677" s="247" t="s">
        <v>931</v>
      </c>
      <c r="AX677" s="247" t="s">
        <v>931</v>
      </c>
      <c r="AY677" s="247">
        <v>64</v>
      </c>
      <c r="AZ677" s="247" t="s">
        <v>933</v>
      </c>
      <c r="BA677" s="248">
        <v>0</v>
      </c>
      <c r="BB677" s="235"/>
      <c r="BC677" s="247" t="s">
        <v>1017</v>
      </c>
      <c r="BD677" s="247"/>
      <c r="BE677" s="247"/>
      <c r="BF677" s="247"/>
      <c r="BG677" s="247"/>
      <c r="BH677" s="247"/>
      <c r="BI677" s="247"/>
      <c r="BJ677" s="247"/>
      <c r="BK677" s="247"/>
      <c r="BL677" s="247"/>
      <c r="BM677" s="247"/>
      <c r="BN677" s="247"/>
      <c r="BO677" s="247"/>
      <c r="BP677" s="248"/>
    </row>
    <row r="678" spans="1:68" ht="14.25" customHeight="1">
      <c r="A678" s="233">
        <v>21</v>
      </c>
      <c r="B678" s="234">
        <v>256</v>
      </c>
      <c r="C678" s="244" t="s">
        <v>928</v>
      </c>
      <c r="D678" s="244" t="s">
        <v>941</v>
      </c>
      <c r="E678" s="244" t="s">
        <v>1020</v>
      </c>
      <c r="F678" s="245">
        <v>-20.3</v>
      </c>
      <c r="G678" s="245">
        <v>-16</v>
      </c>
      <c r="H678" s="245">
        <v>-5.9</v>
      </c>
      <c r="I678" s="245">
        <v>5</v>
      </c>
      <c r="J678" s="245">
        <v>12.1</v>
      </c>
      <c r="K678" s="245">
        <v>17</v>
      </c>
      <c r="L678" s="245">
        <v>21.1</v>
      </c>
      <c r="M678" s="245">
        <v>20.6</v>
      </c>
      <c r="N678" s="245">
        <v>13.7</v>
      </c>
      <c r="O678" s="245">
        <v>5.7</v>
      </c>
      <c r="P678" s="245">
        <v>-5.7</v>
      </c>
      <c r="Q678" s="245">
        <v>-16.7</v>
      </c>
      <c r="R678" s="246">
        <v>2.6</v>
      </c>
      <c r="S678" s="233">
        <v>256</v>
      </c>
      <c r="T678" s="247" t="s">
        <v>1021</v>
      </c>
      <c r="U678" s="245">
        <v>-35</v>
      </c>
      <c r="V678" s="245">
        <v>-33</v>
      </c>
      <c r="W678" s="245">
        <v>-33</v>
      </c>
      <c r="X678" s="245">
        <v>-31</v>
      </c>
      <c r="Y678" s="245">
        <v>-25</v>
      </c>
      <c r="Z678" s="245">
        <v>-44</v>
      </c>
      <c r="AA678" s="245">
        <v>16.600000000000001</v>
      </c>
      <c r="AB678" s="245">
        <v>152</v>
      </c>
      <c r="AC678" s="245">
        <v>-12.2</v>
      </c>
      <c r="AD678" s="245">
        <v>203</v>
      </c>
      <c r="AE678" s="245">
        <v>-8.1</v>
      </c>
      <c r="AF678" s="245">
        <v>219</v>
      </c>
      <c r="AG678" s="245">
        <v>-6.8</v>
      </c>
      <c r="AH678" s="245">
        <v>73</v>
      </c>
      <c r="AI678" s="245">
        <v>59</v>
      </c>
      <c r="AJ678" s="245">
        <v>120</v>
      </c>
      <c r="AK678" s="245" t="s">
        <v>971</v>
      </c>
      <c r="AL678" s="245" t="s">
        <v>931</v>
      </c>
      <c r="AM678" s="246">
        <v>2.2000000000000002</v>
      </c>
      <c r="AN678" s="235">
        <v>256</v>
      </c>
      <c r="AO678" s="247" t="s">
        <v>1022</v>
      </c>
      <c r="AP678" s="247">
        <v>985</v>
      </c>
      <c r="AQ678" s="247">
        <v>25.1</v>
      </c>
      <c r="AR678" s="247">
        <v>29.1</v>
      </c>
      <c r="AS678" s="247">
        <v>27.5</v>
      </c>
      <c r="AT678" s="247">
        <v>39</v>
      </c>
      <c r="AU678" s="247">
        <v>11.8</v>
      </c>
      <c r="AV678" s="247">
        <v>78</v>
      </c>
      <c r="AW678" s="247">
        <v>61</v>
      </c>
      <c r="AX678" s="247">
        <v>574</v>
      </c>
      <c r="AY678" s="247">
        <v>146</v>
      </c>
      <c r="AZ678" s="247" t="s">
        <v>978</v>
      </c>
      <c r="BA678" s="248" t="s">
        <v>934</v>
      </c>
      <c r="BB678" s="235">
        <v>227</v>
      </c>
      <c r="BC678" s="247" t="s">
        <v>1020</v>
      </c>
      <c r="BD678" s="247">
        <v>1.1000000000000001</v>
      </c>
      <c r="BE678" s="247">
        <v>1.4</v>
      </c>
      <c r="BF678" s="247">
        <v>2.7</v>
      </c>
      <c r="BG678" s="247">
        <v>4.8</v>
      </c>
      <c r="BH678" s="247">
        <v>8.1</v>
      </c>
      <c r="BI678" s="247">
        <v>13.9</v>
      </c>
      <c r="BJ678" s="247">
        <v>19.3</v>
      </c>
      <c r="BK678" s="247">
        <v>19.2</v>
      </c>
      <c r="BL678" s="247">
        <v>12.2</v>
      </c>
      <c r="BM678" s="247">
        <v>6.3</v>
      </c>
      <c r="BN678" s="247">
        <v>3.1</v>
      </c>
      <c r="BO678" s="247">
        <v>1.4</v>
      </c>
      <c r="BP678" s="248">
        <v>7.8</v>
      </c>
    </row>
    <row r="679" spans="1:68" ht="14.25" customHeight="1">
      <c r="A679" s="233">
        <v>22</v>
      </c>
      <c r="B679" s="234">
        <v>112</v>
      </c>
      <c r="C679" s="244" t="s">
        <v>928</v>
      </c>
      <c r="D679" s="244" t="s">
        <v>1023</v>
      </c>
      <c r="E679" s="244" t="s">
        <v>1024</v>
      </c>
      <c r="F679" s="245">
        <v>-10.9</v>
      </c>
      <c r="G679" s="245">
        <v>-13.1</v>
      </c>
      <c r="H679" s="245">
        <v>-11.9</v>
      </c>
      <c r="I679" s="245">
        <v>-6.5</v>
      </c>
      <c r="J679" s="245">
        <v>0.7</v>
      </c>
      <c r="K679" s="245">
        <v>6.1</v>
      </c>
      <c r="L679" s="245">
        <v>9.8000000000000007</v>
      </c>
      <c r="M679" s="245">
        <v>10.4</v>
      </c>
      <c r="N679" s="245">
        <v>6.5</v>
      </c>
      <c r="O679" s="245">
        <v>-1.7</v>
      </c>
      <c r="P679" s="245">
        <v>-8.5</v>
      </c>
      <c r="Q679" s="245">
        <v>-12.1</v>
      </c>
      <c r="R679" s="246">
        <v>-2.6</v>
      </c>
      <c r="S679" s="233">
        <v>112</v>
      </c>
      <c r="T679" s="247" t="s">
        <v>1025</v>
      </c>
      <c r="U679" s="245">
        <v>-36</v>
      </c>
      <c r="V679" s="245">
        <v>-33</v>
      </c>
      <c r="W679" s="245">
        <v>-31</v>
      </c>
      <c r="X679" s="245">
        <v>-29</v>
      </c>
      <c r="Y679" s="245">
        <v>-18</v>
      </c>
      <c r="Z679" s="245">
        <v>-40</v>
      </c>
      <c r="AA679" s="245">
        <v>6.7</v>
      </c>
      <c r="AB679" s="245">
        <v>215</v>
      </c>
      <c r="AC679" s="245">
        <v>-8.9</v>
      </c>
      <c r="AD679" s="245">
        <v>300</v>
      </c>
      <c r="AE679" s="245">
        <v>-5.0999999999999996</v>
      </c>
      <c r="AF679" s="245">
        <v>341</v>
      </c>
      <c r="AG679" s="245">
        <v>-3.4</v>
      </c>
      <c r="AH679" s="245">
        <v>76</v>
      </c>
      <c r="AI679" s="245">
        <v>75</v>
      </c>
      <c r="AJ679" s="245" t="s">
        <v>1018</v>
      </c>
      <c r="AK679" s="245" t="s">
        <v>938</v>
      </c>
      <c r="AL679" s="245" t="s">
        <v>931</v>
      </c>
      <c r="AM679" s="246" t="s">
        <v>931</v>
      </c>
      <c r="AN679" s="235">
        <v>112</v>
      </c>
      <c r="AO679" s="247" t="s">
        <v>1026</v>
      </c>
      <c r="AP679" s="247">
        <v>1010</v>
      </c>
      <c r="AQ679" s="247">
        <v>10.8</v>
      </c>
      <c r="AR679" s="247">
        <v>15.5</v>
      </c>
      <c r="AS679" s="247">
        <v>13.2</v>
      </c>
      <c r="AT679" s="247">
        <v>25</v>
      </c>
      <c r="AU679" s="247">
        <v>5.5</v>
      </c>
      <c r="AV679" s="247">
        <v>88</v>
      </c>
      <c r="AW679" s="247">
        <v>82</v>
      </c>
      <c r="AX679" s="247">
        <v>254</v>
      </c>
      <c r="AY679" s="247">
        <v>57</v>
      </c>
      <c r="AZ679" s="247" t="s">
        <v>978</v>
      </c>
      <c r="BA679" s="248" t="s">
        <v>934</v>
      </c>
      <c r="BB679" s="235">
        <v>96</v>
      </c>
      <c r="BC679" s="247" t="s">
        <v>1024</v>
      </c>
      <c r="BD679" s="247">
        <v>2.6</v>
      </c>
      <c r="BE679" s="247">
        <v>2.2000000000000002</v>
      </c>
      <c r="BF679" s="247">
        <v>2.2000000000000002</v>
      </c>
      <c r="BG679" s="247">
        <v>3.3</v>
      </c>
      <c r="BH679" s="247">
        <v>5.6</v>
      </c>
      <c r="BI679" s="247">
        <v>8.3000000000000007</v>
      </c>
      <c r="BJ679" s="247">
        <v>10.9</v>
      </c>
      <c r="BK679" s="247">
        <v>11.2</v>
      </c>
      <c r="BL679" s="247">
        <v>8.3000000000000007</v>
      </c>
      <c r="BM679" s="247">
        <v>4.5999999999999996</v>
      </c>
      <c r="BN679" s="247">
        <v>2.9</v>
      </c>
      <c r="BO679" s="247">
        <v>2.4</v>
      </c>
      <c r="BP679" s="248">
        <v>5.4</v>
      </c>
    </row>
    <row r="680" spans="1:68" ht="14.25" customHeight="1">
      <c r="A680" s="233">
        <v>23</v>
      </c>
      <c r="B680" s="234">
        <v>520</v>
      </c>
      <c r="C680" s="244" t="s">
        <v>960</v>
      </c>
      <c r="D680" s="244" t="s">
        <v>1027</v>
      </c>
      <c r="E680" s="244" t="s">
        <v>1028</v>
      </c>
      <c r="F680" s="245">
        <v>-12.6</v>
      </c>
      <c r="G680" s="245">
        <v>-11.9</v>
      </c>
      <c r="H680" s="245">
        <v>-3.7</v>
      </c>
      <c r="I680" s="245">
        <v>9.3000000000000007</v>
      </c>
      <c r="J680" s="245">
        <v>17.899999999999999</v>
      </c>
      <c r="K680" s="245">
        <v>23.8</v>
      </c>
      <c r="L680" s="245">
        <v>26.5</v>
      </c>
      <c r="M680" s="245">
        <v>24.2</v>
      </c>
      <c r="N680" s="245">
        <v>17.3</v>
      </c>
      <c r="O680" s="245">
        <v>7.6</v>
      </c>
      <c r="P680" s="245">
        <v>-1.3</v>
      </c>
      <c r="Q680" s="245">
        <v>-8.6999999999999993</v>
      </c>
      <c r="R680" s="246">
        <v>7.4</v>
      </c>
      <c r="S680" s="233">
        <v>520</v>
      </c>
      <c r="T680" s="247" t="s">
        <v>1028</v>
      </c>
      <c r="U680" s="245">
        <v>-35</v>
      </c>
      <c r="V680" s="245">
        <v>-33</v>
      </c>
      <c r="W680" s="245">
        <v>-30</v>
      </c>
      <c r="X680" s="245">
        <v>-27</v>
      </c>
      <c r="Y680" s="245">
        <v>-18</v>
      </c>
      <c r="Z680" s="245">
        <v>-38</v>
      </c>
      <c r="AA680" s="245">
        <v>8.4</v>
      </c>
      <c r="AB680" s="245">
        <v>136</v>
      </c>
      <c r="AC680" s="245">
        <v>-8.5</v>
      </c>
      <c r="AD680" s="245">
        <v>181</v>
      </c>
      <c r="AE680" s="245">
        <v>-5.4</v>
      </c>
      <c r="AF680" s="245">
        <v>192</v>
      </c>
      <c r="AG680" s="245">
        <v>-4.5999999999999996</v>
      </c>
      <c r="AH680" s="245">
        <v>81</v>
      </c>
      <c r="AI680" s="245">
        <v>76</v>
      </c>
      <c r="AJ680" s="245">
        <v>59</v>
      </c>
      <c r="AK680" s="245" t="s">
        <v>938</v>
      </c>
      <c r="AL680" s="245">
        <v>5.6</v>
      </c>
      <c r="AM680" s="246">
        <v>4.9000000000000004</v>
      </c>
      <c r="AN680" s="235">
        <v>520</v>
      </c>
      <c r="AO680" s="247" t="s">
        <v>1029</v>
      </c>
      <c r="AP680" s="247" t="s">
        <v>965</v>
      </c>
      <c r="AQ680" s="247">
        <v>30.4</v>
      </c>
      <c r="AR680" s="247">
        <v>34</v>
      </c>
      <c r="AS680" s="247">
        <v>32</v>
      </c>
      <c r="AT680" s="247">
        <v>45</v>
      </c>
      <c r="AU680" s="247">
        <v>12.1</v>
      </c>
      <c r="AV680" s="247">
        <v>40</v>
      </c>
      <c r="AW680" s="247" t="s">
        <v>931</v>
      </c>
      <c r="AX680" s="247">
        <v>78</v>
      </c>
      <c r="AY680" s="247" t="s">
        <v>965</v>
      </c>
      <c r="AZ680" s="247" t="s">
        <v>1005</v>
      </c>
      <c r="BA680" s="248">
        <v>5</v>
      </c>
      <c r="BB680" s="235"/>
      <c r="BC680" s="247" t="s">
        <v>1028</v>
      </c>
      <c r="BD680" s="247"/>
      <c r="BE680" s="247"/>
      <c r="BF680" s="247"/>
      <c r="BG680" s="247"/>
      <c r="BH680" s="247"/>
      <c r="BI680" s="247"/>
      <c r="BJ680" s="247"/>
      <c r="BK680" s="247"/>
      <c r="BL680" s="247"/>
      <c r="BM680" s="247"/>
      <c r="BN680" s="247"/>
      <c r="BO680" s="247"/>
      <c r="BP680" s="248"/>
    </row>
    <row r="681" spans="1:68" ht="14.25" customHeight="1">
      <c r="A681" s="233">
        <v>24</v>
      </c>
      <c r="B681" s="234">
        <v>227</v>
      </c>
      <c r="C681" s="244" t="s">
        <v>928</v>
      </c>
      <c r="D681" s="244" t="s">
        <v>1030</v>
      </c>
      <c r="E681" s="244" t="s">
        <v>1031</v>
      </c>
      <c r="F681" s="245">
        <v>-12.4</v>
      </c>
      <c r="G681" s="245">
        <v>-11.9</v>
      </c>
      <c r="H681" s="245">
        <v>-6.5</v>
      </c>
      <c r="I681" s="245">
        <v>3.5</v>
      </c>
      <c r="J681" s="245">
        <v>12</v>
      </c>
      <c r="K681" s="245">
        <v>16.899999999999999</v>
      </c>
      <c r="L681" s="245">
        <v>18.8</v>
      </c>
      <c r="M681" s="245">
        <v>17.2</v>
      </c>
      <c r="N681" s="245">
        <v>10.8</v>
      </c>
      <c r="O681" s="245">
        <v>3.5</v>
      </c>
      <c r="P681" s="245">
        <v>-3.6</v>
      </c>
      <c r="Q681" s="245">
        <v>-9.4</v>
      </c>
      <c r="R681" s="246">
        <v>3.2</v>
      </c>
      <c r="S681" s="233">
        <v>227</v>
      </c>
      <c r="T681" s="247" t="s">
        <v>1032</v>
      </c>
      <c r="U681" s="245">
        <v>-40</v>
      </c>
      <c r="V681" s="245">
        <v>-36</v>
      </c>
      <c r="W681" s="245">
        <v>-35</v>
      </c>
      <c r="X681" s="245">
        <v>-32</v>
      </c>
      <c r="Y681" s="245">
        <v>-17</v>
      </c>
      <c r="Z681" s="245">
        <v>-43</v>
      </c>
      <c r="AA681" s="245">
        <v>7</v>
      </c>
      <c r="AB681" s="245">
        <v>156</v>
      </c>
      <c r="AC681" s="245">
        <v>-8.1</v>
      </c>
      <c r="AD681" s="245">
        <v>216</v>
      </c>
      <c r="AE681" s="245">
        <v>-4.7</v>
      </c>
      <c r="AF681" s="245">
        <v>232</v>
      </c>
      <c r="AG681" s="245">
        <v>-3.8</v>
      </c>
      <c r="AH681" s="245">
        <v>85</v>
      </c>
      <c r="AI681" s="245">
        <v>84</v>
      </c>
      <c r="AJ681" s="245">
        <v>238</v>
      </c>
      <c r="AK681" s="245" t="s">
        <v>971</v>
      </c>
      <c r="AL681" s="245">
        <v>7.5</v>
      </c>
      <c r="AM681" s="246">
        <v>4.0999999999999996</v>
      </c>
      <c r="AN681" s="235">
        <v>227</v>
      </c>
      <c r="AO681" s="247" t="s">
        <v>1033</v>
      </c>
      <c r="AP681" s="247">
        <v>990</v>
      </c>
      <c r="AQ681" s="247">
        <v>22.2</v>
      </c>
      <c r="AR681" s="247">
        <v>26.4</v>
      </c>
      <c r="AS681" s="247">
        <v>24.6</v>
      </c>
      <c r="AT681" s="247">
        <v>37</v>
      </c>
      <c r="AU681" s="247">
        <v>11.4</v>
      </c>
      <c r="AV681" s="247">
        <v>70</v>
      </c>
      <c r="AW681" s="247">
        <v>53</v>
      </c>
      <c r="AX681" s="247">
        <v>384</v>
      </c>
      <c r="AY681" s="247" t="s">
        <v>965</v>
      </c>
      <c r="AZ681" s="247" t="s">
        <v>952</v>
      </c>
      <c r="BA681" s="248">
        <v>4.2</v>
      </c>
      <c r="BB681" s="235"/>
      <c r="BC681" s="247" t="s">
        <v>1031</v>
      </c>
      <c r="BD681" s="247"/>
      <c r="BE681" s="247"/>
      <c r="BF681" s="247"/>
      <c r="BG681" s="247"/>
      <c r="BH681" s="247"/>
      <c r="BI681" s="247"/>
      <c r="BJ681" s="247"/>
      <c r="BK681" s="247"/>
      <c r="BL681" s="247"/>
      <c r="BM681" s="247"/>
      <c r="BN681" s="247"/>
      <c r="BO681" s="247"/>
      <c r="BP681" s="248"/>
    </row>
    <row r="682" spans="1:68" ht="14.25" customHeight="1">
      <c r="A682" s="233">
        <v>25</v>
      </c>
      <c r="B682" s="234">
        <v>305</v>
      </c>
      <c r="C682" s="244" t="s">
        <v>928</v>
      </c>
      <c r="D682" s="244" t="s">
        <v>1034</v>
      </c>
      <c r="E682" s="244" t="s">
        <v>1035</v>
      </c>
      <c r="F682" s="245">
        <v>-4.9000000000000004</v>
      </c>
      <c r="G682" s="245">
        <v>-3.6</v>
      </c>
      <c r="H682" s="245">
        <v>1.6</v>
      </c>
      <c r="I682" s="245">
        <v>10.3</v>
      </c>
      <c r="J682" s="245">
        <v>17.399999999999999</v>
      </c>
      <c r="K682" s="245">
        <v>22</v>
      </c>
      <c r="L682" s="245">
        <v>25</v>
      </c>
      <c r="M682" s="245">
        <v>23.7</v>
      </c>
      <c r="N682" s="245">
        <v>17.8</v>
      </c>
      <c r="O682" s="245">
        <v>10.1</v>
      </c>
      <c r="P682" s="245">
        <v>4</v>
      </c>
      <c r="Q682" s="245">
        <v>-1.3</v>
      </c>
      <c r="R682" s="246">
        <v>10.199999999999999</v>
      </c>
      <c r="S682" s="233">
        <v>305</v>
      </c>
      <c r="T682" s="247" t="s">
        <v>1036</v>
      </c>
      <c r="U682" s="245">
        <v>-30</v>
      </c>
      <c r="V682" s="245">
        <v>-26</v>
      </c>
      <c r="W682" s="245">
        <v>-25</v>
      </c>
      <c r="X682" s="245">
        <v>-22</v>
      </c>
      <c r="Y682" s="245">
        <v>-10</v>
      </c>
      <c r="Z682" s="245">
        <v>-37</v>
      </c>
      <c r="AA682" s="245">
        <v>6.2</v>
      </c>
      <c r="AB682" s="245">
        <v>88</v>
      </c>
      <c r="AC682" s="245">
        <v>-3</v>
      </c>
      <c r="AD682" s="245">
        <v>163</v>
      </c>
      <c r="AE682" s="245">
        <v>0.1</v>
      </c>
      <c r="AF682" s="245">
        <v>180</v>
      </c>
      <c r="AG682" s="245">
        <v>1</v>
      </c>
      <c r="AH682" s="245">
        <v>86</v>
      </c>
      <c r="AI682" s="245">
        <v>83</v>
      </c>
      <c r="AJ682" s="245">
        <v>115</v>
      </c>
      <c r="AK682" s="245" t="s">
        <v>982</v>
      </c>
      <c r="AL682" s="245">
        <v>4.5999999999999996</v>
      </c>
      <c r="AM682" s="246">
        <v>3.1</v>
      </c>
      <c r="AN682" s="235">
        <v>305</v>
      </c>
      <c r="AO682" s="247" t="s">
        <v>1037</v>
      </c>
      <c r="AP682" s="247">
        <v>1000</v>
      </c>
      <c r="AQ682" s="247">
        <v>29.1</v>
      </c>
      <c r="AR682" s="247">
        <v>32.9</v>
      </c>
      <c r="AS682" s="247">
        <v>31.5</v>
      </c>
      <c r="AT682" s="247">
        <v>43</v>
      </c>
      <c r="AU682" s="247">
        <v>13.5</v>
      </c>
      <c r="AV682" s="247">
        <v>52</v>
      </c>
      <c r="AW682" s="247">
        <v>35</v>
      </c>
      <c r="AX682" s="247">
        <v>264</v>
      </c>
      <c r="AY682" s="247">
        <v>67</v>
      </c>
      <c r="AZ682" s="247" t="s">
        <v>1038</v>
      </c>
      <c r="BA682" s="248">
        <v>0</v>
      </c>
      <c r="BB682" s="235">
        <v>275</v>
      </c>
      <c r="BC682" s="247" t="s">
        <v>1035</v>
      </c>
      <c r="BD682" s="247">
        <v>4.2</v>
      </c>
      <c r="BE682" s="247">
        <v>4.5</v>
      </c>
      <c r="BF682" s="247">
        <v>5.7</v>
      </c>
      <c r="BG682" s="247">
        <v>8.4</v>
      </c>
      <c r="BH682" s="247">
        <v>11.5</v>
      </c>
      <c r="BI682" s="247">
        <v>14.2</v>
      </c>
      <c r="BJ682" s="247">
        <v>15.3</v>
      </c>
      <c r="BK682" s="247">
        <v>15.1</v>
      </c>
      <c r="BL682" s="247">
        <v>12.4</v>
      </c>
      <c r="BM682" s="247">
        <v>9.3000000000000007</v>
      </c>
      <c r="BN682" s="247">
        <v>7.3</v>
      </c>
      <c r="BO682" s="247">
        <v>5.4</v>
      </c>
      <c r="BP682" s="248">
        <v>9.4</v>
      </c>
    </row>
    <row r="683" spans="1:68" ht="14.25" customHeight="1">
      <c r="A683" s="233">
        <v>26</v>
      </c>
      <c r="B683" s="234">
        <v>201</v>
      </c>
      <c r="C683" s="244" t="s">
        <v>928</v>
      </c>
      <c r="D683" s="244" t="s">
        <v>1039</v>
      </c>
      <c r="E683" s="244" t="s">
        <v>1040</v>
      </c>
      <c r="F683" s="245">
        <v>-36.799999999999997</v>
      </c>
      <c r="G683" s="245">
        <v>-32.799999999999997</v>
      </c>
      <c r="H683" s="245">
        <v>-25.6</v>
      </c>
      <c r="I683" s="245">
        <v>-13.1</v>
      </c>
      <c r="J683" s="245">
        <v>0.8</v>
      </c>
      <c r="K683" s="245">
        <v>10.199999999999999</v>
      </c>
      <c r="L683" s="245">
        <v>13</v>
      </c>
      <c r="M683" s="245">
        <v>9.9</v>
      </c>
      <c r="N683" s="245">
        <v>1.6</v>
      </c>
      <c r="O683" s="245">
        <v>-15.1</v>
      </c>
      <c r="P683" s="245">
        <v>-30.3</v>
      </c>
      <c r="Q683" s="245">
        <v>-36.5</v>
      </c>
      <c r="R683" s="246">
        <v>-12.4</v>
      </c>
      <c r="S683" s="233">
        <v>201</v>
      </c>
      <c r="T683" s="247" t="s">
        <v>1041</v>
      </c>
      <c r="U683" s="245">
        <v>-56</v>
      </c>
      <c r="V683" s="245">
        <v>-54</v>
      </c>
      <c r="W683" s="245">
        <v>-54</v>
      </c>
      <c r="X683" s="245">
        <v>-51</v>
      </c>
      <c r="Y683" s="245">
        <v>-42</v>
      </c>
      <c r="Z683" s="245">
        <v>-58</v>
      </c>
      <c r="AA683" s="245">
        <v>7.5</v>
      </c>
      <c r="AB683" s="245">
        <v>238</v>
      </c>
      <c r="AC683" s="245">
        <v>-24.1</v>
      </c>
      <c r="AD683" s="245">
        <v>289</v>
      </c>
      <c r="AE683" s="245">
        <v>-19</v>
      </c>
      <c r="AF683" s="245">
        <v>304</v>
      </c>
      <c r="AG683" s="245">
        <v>-17.7</v>
      </c>
      <c r="AH683" s="245">
        <v>73</v>
      </c>
      <c r="AI683" s="245">
        <v>72</v>
      </c>
      <c r="AJ683" s="245">
        <v>45</v>
      </c>
      <c r="AK683" s="245" t="s">
        <v>944</v>
      </c>
      <c r="AL683" s="245">
        <v>6.4</v>
      </c>
      <c r="AM683" s="246">
        <v>2.5</v>
      </c>
      <c r="AN683" s="235">
        <v>201</v>
      </c>
      <c r="AO683" s="247" t="s">
        <v>1042</v>
      </c>
      <c r="AP683" s="247">
        <v>930</v>
      </c>
      <c r="AQ683" s="247">
        <v>18.3</v>
      </c>
      <c r="AR683" s="247">
        <v>22.7</v>
      </c>
      <c r="AS683" s="247">
        <v>20.7</v>
      </c>
      <c r="AT683" s="247">
        <v>32</v>
      </c>
      <c r="AU683" s="247">
        <v>15.1</v>
      </c>
      <c r="AV683" s="247">
        <v>67</v>
      </c>
      <c r="AW683" s="247">
        <v>51</v>
      </c>
      <c r="AX683" s="247">
        <v>257</v>
      </c>
      <c r="AY683" s="247">
        <v>42</v>
      </c>
      <c r="AZ683" s="247" t="s">
        <v>946</v>
      </c>
      <c r="BA683" s="248">
        <v>0</v>
      </c>
      <c r="BB683" s="235">
        <v>177</v>
      </c>
      <c r="BC683" s="247" t="s">
        <v>1040</v>
      </c>
      <c r="BD683" s="247">
        <v>0.3</v>
      </c>
      <c r="BE683" s="247">
        <v>0.4</v>
      </c>
      <c r="BF683" s="247">
        <v>0.6</v>
      </c>
      <c r="BG683" s="247">
        <v>1.7</v>
      </c>
      <c r="BH683" s="247">
        <v>4.0999999999999996</v>
      </c>
      <c r="BI683" s="247">
        <v>7.5</v>
      </c>
      <c r="BJ683" s="247">
        <v>9.6999999999999993</v>
      </c>
      <c r="BK683" s="247">
        <v>8.5</v>
      </c>
      <c r="BL683" s="247">
        <v>5.0999999999999996</v>
      </c>
      <c r="BM683" s="247">
        <v>1.8</v>
      </c>
      <c r="BN683" s="247">
        <v>0.5</v>
      </c>
      <c r="BO683" s="247">
        <v>0.3</v>
      </c>
      <c r="BP683" s="248">
        <v>3.4</v>
      </c>
    </row>
    <row r="684" spans="1:68" ht="14.25" customHeight="1">
      <c r="A684" s="233">
        <v>27</v>
      </c>
      <c r="B684" s="234">
        <v>38</v>
      </c>
      <c r="C684" s="244" t="s">
        <v>928</v>
      </c>
      <c r="D684" s="244" t="s">
        <v>1043</v>
      </c>
      <c r="E684" s="244" t="s">
        <v>139</v>
      </c>
      <c r="F684" s="245">
        <v>-12.9</v>
      </c>
      <c r="G684" s="245">
        <v>-12.5</v>
      </c>
      <c r="H684" s="245">
        <v>-8</v>
      </c>
      <c r="I684" s="245">
        <v>-0.9</v>
      </c>
      <c r="J684" s="245">
        <v>6</v>
      </c>
      <c r="K684" s="245">
        <v>12.4</v>
      </c>
      <c r="L684" s="245">
        <v>15.6</v>
      </c>
      <c r="M684" s="245">
        <v>13.6</v>
      </c>
      <c r="N684" s="245">
        <v>7.9</v>
      </c>
      <c r="O684" s="245">
        <v>1.5</v>
      </c>
      <c r="P684" s="245">
        <v>-4.0999999999999996</v>
      </c>
      <c r="Q684" s="245">
        <v>-9.5</v>
      </c>
      <c r="R684" s="246">
        <v>0.8</v>
      </c>
      <c r="S684" s="233">
        <v>38</v>
      </c>
      <c r="T684" s="247" t="s">
        <v>1044</v>
      </c>
      <c r="U684" s="245">
        <v>-39</v>
      </c>
      <c r="V684" s="245">
        <v>-37</v>
      </c>
      <c r="W684" s="245">
        <v>-34</v>
      </c>
      <c r="X684" s="245">
        <v>-31</v>
      </c>
      <c r="Y684" s="245">
        <v>-18</v>
      </c>
      <c r="Z684" s="245">
        <v>-45</v>
      </c>
      <c r="AA684" s="245">
        <v>7.8</v>
      </c>
      <c r="AB684" s="245">
        <v>177</v>
      </c>
      <c r="AC684" s="245">
        <v>-8</v>
      </c>
      <c r="AD684" s="245">
        <v>253</v>
      </c>
      <c r="AE684" s="245">
        <v>-4.4000000000000004</v>
      </c>
      <c r="AF684" s="245">
        <v>273</v>
      </c>
      <c r="AG684" s="245">
        <v>-3.4</v>
      </c>
      <c r="AH684" s="245">
        <v>86</v>
      </c>
      <c r="AI684" s="245">
        <v>83</v>
      </c>
      <c r="AJ684" s="245">
        <v>188</v>
      </c>
      <c r="AK684" s="245" t="s">
        <v>990</v>
      </c>
      <c r="AL684" s="245">
        <v>5.9</v>
      </c>
      <c r="AM684" s="246">
        <v>3.7</v>
      </c>
      <c r="AN684" s="235">
        <v>38</v>
      </c>
      <c r="AO684" s="247" t="s">
        <v>1045</v>
      </c>
      <c r="AP684" s="247">
        <v>1010</v>
      </c>
      <c r="AQ684" s="247">
        <v>19.600000000000001</v>
      </c>
      <c r="AR684" s="247">
        <v>24</v>
      </c>
      <c r="AS684" s="247">
        <v>20.9</v>
      </c>
      <c r="AT684" s="247">
        <v>34</v>
      </c>
      <c r="AU684" s="247">
        <v>10.9</v>
      </c>
      <c r="AV684" s="247">
        <v>72</v>
      </c>
      <c r="AW684" s="247">
        <v>57</v>
      </c>
      <c r="AX684" s="247">
        <v>402</v>
      </c>
      <c r="AY684" s="247">
        <v>55</v>
      </c>
      <c r="AZ684" s="247" t="s">
        <v>959</v>
      </c>
      <c r="BA684" s="248">
        <v>4</v>
      </c>
      <c r="BB684" s="235">
        <v>24</v>
      </c>
      <c r="BC684" s="247" t="s">
        <v>139</v>
      </c>
      <c r="BD684" s="247">
        <v>2.2999999999999998</v>
      </c>
      <c r="BE684" s="247">
        <v>2.4</v>
      </c>
      <c r="BF684" s="247">
        <v>3.1</v>
      </c>
      <c r="BG684" s="247">
        <v>4.5</v>
      </c>
      <c r="BH684" s="247">
        <v>6.4</v>
      </c>
      <c r="BI684" s="247">
        <v>10</v>
      </c>
      <c r="BJ684" s="247">
        <v>12.9</v>
      </c>
      <c r="BK684" s="247">
        <v>12.4</v>
      </c>
      <c r="BL684" s="247">
        <v>9.1999999999999993</v>
      </c>
      <c r="BM684" s="247">
        <v>6.1</v>
      </c>
      <c r="BN684" s="247">
        <v>4.3</v>
      </c>
      <c r="BO684" s="247">
        <v>3.1</v>
      </c>
      <c r="BP684" s="248">
        <v>6.4</v>
      </c>
    </row>
    <row r="685" spans="1:68" ht="14.25" customHeight="1">
      <c r="A685" s="233">
        <v>28</v>
      </c>
      <c r="B685" s="234">
        <v>14</v>
      </c>
      <c r="C685" s="244" t="s">
        <v>928</v>
      </c>
      <c r="D685" s="244" t="s">
        <v>1046</v>
      </c>
      <c r="E685" s="244" t="s">
        <v>1047</v>
      </c>
      <c r="F685" s="245">
        <v>-26.7</v>
      </c>
      <c r="G685" s="245">
        <v>-21.8</v>
      </c>
      <c r="H685" s="245">
        <v>-10.7</v>
      </c>
      <c r="I685" s="245">
        <v>2.5</v>
      </c>
      <c r="J685" s="245">
        <v>11</v>
      </c>
      <c r="K685" s="245">
        <v>17.2</v>
      </c>
      <c r="L685" s="245">
        <v>20.9</v>
      </c>
      <c r="M685" s="245">
        <v>18.8</v>
      </c>
      <c r="N685" s="245">
        <v>11.9</v>
      </c>
      <c r="O685" s="245">
        <v>2.4</v>
      </c>
      <c r="P685" s="245">
        <v>-12</v>
      </c>
      <c r="Q685" s="245">
        <v>-23.6</v>
      </c>
      <c r="R685" s="246">
        <v>-0.8</v>
      </c>
      <c r="S685" s="233">
        <v>14</v>
      </c>
      <c r="T685" s="247" t="s">
        <v>1048</v>
      </c>
      <c r="U685" s="245">
        <v>-42</v>
      </c>
      <c r="V685" s="245">
        <v>-40</v>
      </c>
      <c r="W685" s="245">
        <v>-38</v>
      </c>
      <c r="X685" s="245">
        <v>-36</v>
      </c>
      <c r="Y685" s="245">
        <v>-32</v>
      </c>
      <c r="Z685" s="245">
        <v>-50</v>
      </c>
      <c r="AA685" s="245">
        <v>11.7</v>
      </c>
      <c r="AB685" s="245">
        <v>171</v>
      </c>
      <c r="AC685" s="245">
        <v>-16.399999999999999</v>
      </c>
      <c r="AD685" s="245">
        <v>219</v>
      </c>
      <c r="AE685" s="245">
        <v>-11.8</v>
      </c>
      <c r="AF685" s="245">
        <v>233</v>
      </c>
      <c r="AG685" s="245">
        <v>-10.6</v>
      </c>
      <c r="AH685" s="245">
        <v>77</v>
      </c>
      <c r="AI685" s="245">
        <v>73</v>
      </c>
      <c r="AJ685" s="245">
        <v>75</v>
      </c>
      <c r="AK685" s="245" t="s">
        <v>944</v>
      </c>
      <c r="AL685" s="245">
        <v>3.4</v>
      </c>
      <c r="AM685" s="246">
        <v>3.2</v>
      </c>
      <c r="AN685" s="235">
        <v>14</v>
      </c>
      <c r="AO685" s="247" t="s">
        <v>1049</v>
      </c>
      <c r="AP685" s="247">
        <v>990</v>
      </c>
      <c r="AQ685" s="247">
        <v>24.7</v>
      </c>
      <c r="AR685" s="247">
        <v>27.5</v>
      </c>
      <c r="AS685" s="247">
        <v>26.3</v>
      </c>
      <c r="AT685" s="247">
        <v>36</v>
      </c>
      <c r="AU685" s="247">
        <v>10.199999999999999</v>
      </c>
      <c r="AV685" s="247">
        <v>80</v>
      </c>
      <c r="AW685" s="247">
        <v>67</v>
      </c>
      <c r="AX685" s="247">
        <v>610</v>
      </c>
      <c r="AY685" s="247">
        <v>104</v>
      </c>
      <c r="AZ685" s="247" t="s">
        <v>946</v>
      </c>
      <c r="BA685" s="248">
        <v>0</v>
      </c>
      <c r="BB685" s="235">
        <v>13</v>
      </c>
      <c r="BC685" s="247" t="s">
        <v>1047</v>
      </c>
      <c r="BD685" s="247">
        <v>0.6</v>
      </c>
      <c r="BE685" s="247">
        <v>0.9</v>
      </c>
      <c r="BF685" s="247">
        <v>2.1</v>
      </c>
      <c r="BG685" s="247">
        <v>4.5</v>
      </c>
      <c r="BH685" s="247">
        <v>7.9</v>
      </c>
      <c r="BI685" s="247">
        <v>14.5</v>
      </c>
      <c r="BJ685" s="247">
        <v>19.7</v>
      </c>
      <c r="BK685" s="247">
        <v>17.600000000000001</v>
      </c>
      <c r="BL685" s="247">
        <v>10.8</v>
      </c>
      <c r="BM685" s="247">
        <v>4.9000000000000004</v>
      </c>
      <c r="BN685" s="247">
        <v>2</v>
      </c>
      <c r="BO685" s="247">
        <v>0.8</v>
      </c>
      <c r="BP685" s="248">
        <v>7.2</v>
      </c>
    </row>
    <row r="686" spans="1:68" ht="14.25" customHeight="1">
      <c r="A686" s="233">
        <v>29</v>
      </c>
      <c r="B686" s="234">
        <v>641</v>
      </c>
      <c r="C686" s="244" t="s">
        <v>953</v>
      </c>
      <c r="D686" s="244" t="s">
        <v>1050</v>
      </c>
      <c r="E686" s="244" t="s">
        <v>1051</v>
      </c>
      <c r="F686" s="245">
        <v>-3.1</v>
      </c>
      <c r="G686" s="245">
        <v>-2</v>
      </c>
      <c r="H686" s="245">
        <v>2.2000000000000002</v>
      </c>
      <c r="I686" s="245">
        <v>9.6</v>
      </c>
      <c r="J686" s="245">
        <v>15.6</v>
      </c>
      <c r="K686" s="245">
        <v>20</v>
      </c>
      <c r="L686" s="245">
        <v>22.4</v>
      </c>
      <c r="M686" s="245">
        <v>21.6</v>
      </c>
      <c r="N686" s="245">
        <v>16.399999999999999</v>
      </c>
      <c r="O686" s="245">
        <v>9.6999999999999993</v>
      </c>
      <c r="P686" s="245">
        <v>4.4000000000000004</v>
      </c>
      <c r="Q686" s="245">
        <v>0.3</v>
      </c>
      <c r="R686" s="246">
        <v>9.8000000000000007</v>
      </c>
      <c r="S686" s="233">
        <v>630</v>
      </c>
      <c r="T686" s="247" t="s">
        <v>1051</v>
      </c>
      <c r="U686" s="245">
        <v>-26</v>
      </c>
      <c r="V686" s="245">
        <v>-23</v>
      </c>
      <c r="W686" s="245">
        <v>-22</v>
      </c>
      <c r="X686" s="245">
        <v>-20</v>
      </c>
      <c r="Y686" s="245">
        <v>-7</v>
      </c>
      <c r="Z686" s="245">
        <v>-31</v>
      </c>
      <c r="AA686" s="245" t="s">
        <v>956</v>
      </c>
      <c r="AB686" s="245">
        <v>75</v>
      </c>
      <c r="AC686" s="245">
        <v>-2.2000000000000002</v>
      </c>
      <c r="AD686" s="245">
        <v>165</v>
      </c>
      <c r="AE686" s="245">
        <v>1</v>
      </c>
      <c r="AF686" s="245">
        <v>182</v>
      </c>
      <c r="AG686" s="245">
        <v>1.8</v>
      </c>
      <c r="AH686" s="245" t="s">
        <v>956</v>
      </c>
      <c r="AI686" s="245" t="s">
        <v>956</v>
      </c>
      <c r="AJ686" s="245">
        <v>154</v>
      </c>
      <c r="AK686" s="245" t="s">
        <v>982</v>
      </c>
      <c r="AL686" s="245">
        <v>7.2</v>
      </c>
      <c r="AM686" s="246" t="s">
        <v>931</v>
      </c>
      <c r="AN686" s="235">
        <v>631</v>
      </c>
      <c r="AO686" s="247" t="s">
        <v>1052</v>
      </c>
      <c r="AP686" s="247">
        <v>1010</v>
      </c>
      <c r="AQ686" s="247">
        <v>31</v>
      </c>
      <c r="AR686" s="247">
        <v>27</v>
      </c>
      <c r="AS686" s="247">
        <v>28.6</v>
      </c>
      <c r="AT686" s="247">
        <v>40</v>
      </c>
      <c r="AU686" s="247" t="s">
        <v>934</v>
      </c>
      <c r="AV686" s="247" t="s">
        <v>958</v>
      </c>
      <c r="AW686" s="247" t="s">
        <v>931</v>
      </c>
      <c r="AX686" s="247" t="s">
        <v>931</v>
      </c>
      <c r="AY686" s="247">
        <v>123</v>
      </c>
      <c r="AZ686" s="247" t="s">
        <v>1005</v>
      </c>
      <c r="BA686" s="248">
        <v>2.4</v>
      </c>
      <c r="BB686" s="235"/>
      <c r="BC686" s="247" t="s">
        <v>1051</v>
      </c>
      <c r="BD686" s="247"/>
      <c r="BE686" s="247"/>
      <c r="BF686" s="247"/>
      <c r="BG686" s="247"/>
      <c r="BH686" s="247"/>
      <c r="BI686" s="247"/>
      <c r="BJ686" s="247"/>
      <c r="BK686" s="247"/>
      <c r="BL686" s="247"/>
      <c r="BM686" s="247"/>
      <c r="BN686" s="247"/>
      <c r="BO686" s="247"/>
      <c r="BP686" s="248"/>
    </row>
    <row r="687" spans="1:68" ht="14.25" customHeight="1">
      <c r="A687" s="233">
        <v>30</v>
      </c>
      <c r="B687" s="234">
        <v>496</v>
      </c>
      <c r="C687" s="244" t="s">
        <v>960</v>
      </c>
      <c r="D687" s="244" t="s">
        <v>1053</v>
      </c>
      <c r="E687" s="244" t="s">
        <v>1054</v>
      </c>
      <c r="F687" s="245">
        <v>-16.8</v>
      </c>
      <c r="G687" s="245">
        <v>-16.5</v>
      </c>
      <c r="H687" s="245">
        <v>-10.1</v>
      </c>
      <c r="I687" s="245">
        <v>3</v>
      </c>
      <c r="J687" s="245">
        <v>12.7</v>
      </c>
      <c r="K687" s="245">
        <v>18.2</v>
      </c>
      <c r="L687" s="245">
        <v>20.399999999999999</v>
      </c>
      <c r="M687" s="245">
        <v>17.8</v>
      </c>
      <c r="N687" s="245">
        <v>11.5</v>
      </c>
      <c r="O687" s="245">
        <v>2.6</v>
      </c>
      <c r="P687" s="245">
        <v>-7</v>
      </c>
      <c r="Q687" s="245">
        <v>-14</v>
      </c>
      <c r="R687" s="246">
        <v>1.8</v>
      </c>
      <c r="S687" s="233">
        <v>496</v>
      </c>
      <c r="T687" s="247" t="s">
        <v>1054</v>
      </c>
      <c r="U687" s="245">
        <v>-41</v>
      </c>
      <c r="V687" s="245">
        <v>-38</v>
      </c>
      <c r="W687" s="245">
        <v>-36</v>
      </c>
      <c r="X687" s="245">
        <v>-33</v>
      </c>
      <c r="Y687" s="245">
        <v>-23</v>
      </c>
      <c r="Z687" s="245">
        <v>-52</v>
      </c>
      <c r="AA687" s="245">
        <v>9</v>
      </c>
      <c r="AB687" s="245">
        <v>167</v>
      </c>
      <c r="AC687" s="245">
        <v>-11.7</v>
      </c>
      <c r="AD687" s="245">
        <v>215</v>
      </c>
      <c r="AE687" s="245">
        <v>-8.1</v>
      </c>
      <c r="AF687" s="245">
        <v>227</v>
      </c>
      <c r="AG687" s="245">
        <v>-7.2</v>
      </c>
      <c r="AH687" s="245">
        <v>80</v>
      </c>
      <c r="AI687" s="245">
        <v>77</v>
      </c>
      <c r="AJ687" s="245">
        <v>88</v>
      </c>
      <c r="AK687" s="245" t="s">
        <v>971</v>
      </c>
      <c r="AL687" s="245">
        <v>5.9</v>
      </c>
      <c r="AM687" s="246">
        <v>5.2</v>
      </c>
      <c r="AN687" s="235">
        <v>496</v>
      </c>
      <c r="AO687" s="247" t="s">
        <v>1055</v>
      </c>
      <c r="AP687" s="247">
        <v>980</v>
      </c>
      <c r="AQ687" s="247">
        <v>25.5</v>
      </c>
      <c r="AR687" s="247">
        <v>29.5</v>
      </c>
      <c r="AS687" s="247">
        <v>27</v>
      </c>
      <c r="AT687" s="247">
        <v>39</v>
      </c>
      <c r="AU687" s="247">
        <v>13.6</v>
      </c>
      <c r="AV687" s="247">
        <v>57</v>
      </c>
      <c r="AW687" s="247">
        <v>40</v>
      </c>
      <c r="AX687" s="247">
        <v>238</v>
      </c>
      <c r="AY687" s="247" t="s">
        <v>965</v>
      </c>
      <c r="AZ687" s="247" t="s">
        <v>940</v>
      </c>
      <c r="BA687" s="248">
        <v>3.7</v>
      </c>
      <c r="BB687" s="235"/>
      <c r="BC687" s="247" t="s">
        <v>1054</v>
      </c>
      <c r="BD687" s="247"/>
      <c r="BE687" s="247"/>
      <c r="BF687" s="247"/>
      <c r="BG687" s="247"/>
      <c r="BH687" s="247"/>
      <c r="BI687" s="247"/>
      <c r="BJ687" s="247"/>
      <c r="BK687" s="247"/>
      <c r="BL687" s="247"/>
      <c r="BM687" s="247"/>
      <c r="BN687" s="247"/>
      <c r="BO687" s="247"/>
      <c r="BP687" s="248"/>
    </row>
    <row r="688" spans="1:68" ht="14.25" customHeight="1">
      <c r="A688" s="233">
        <v>31</v>
      </c>
      <c r="B688" s="234">
        <v>257</v>
      </c>
      <c r="C688" s="244" t="s">
        <v>928</v>
      </c>
      <c r="D688" s="244" t="s">
        <v>941</v>
      </c>
      <c r="E688" s="244" t="s">
        <v>1056</v>
      </c>
      <c r="F688" s="245">
        <v>-17.7</v>
      </c>
      <c r="G688" s="245">
        <v>-13.6</v>
      </c>
      <c r="H688" s="245">
        <v>-4.8</v>
      </c>
      <c r="I688" s="245">
        <v>4.4000000000000004</v>
      </c>
      <c r="J688" s="245">
        <v>11.6</v>
      </c>
      <c r="K688" s="245">
        <v>16.5</v>
      </c>
      <c r="L688" s="245">
        <v>20.6</v>
      </c>
      <c r="M688" s="245">
        <v>20.9</v>
      </c>
      <c r="N688" s="245">
        <v>14.9</v>
      </c>
      <c r="O688" s="245">
        <v>6.7</v>
      </c>
      <c r="P688" s="245">
        <v>-4.3</v>
      </c>
      <c r="Q688" s="245">
        <v>-13.9</v>
      </c>
      <c r="R688" s="246">
        <v>3.4</v>
      </c>
      <c r="S688" s="233">
        <v>257</v>
      </c>
      <c r="T688" s="247" t="s">
        <v>1057</v>
      </c>
      <c r="U688" s="245">
        <v>-30</v>
      </c>
      <c r="V688" s="245">
        <v>-29</v>
      </c>
      <c r="W688" s="245">
        <v>-28</v>
      </c>
      <c r="X688" s="245">
        <v>-26</v>
      </c>
      <c r="Y688" s="245">
        <v>-23</v>
      </c>
      <c r="Z688" s="245">
        <v>-40</v>
      </c>
      <c r="AA688" s="245">
        <v>10.6</v>
      </c>
      <c r="AB688" s="245">
        <v>148</v>
      </c>
      <c r="AC688" s="245">
        <v>-10.5</v>
      </c>
      <c r="AD688" s="245">
        <v>202</v>
      </c>
      <c r="AE688" s="245">
        <v>-6.6</v>
      </c>
      <c r="AF688" s="245">
        <v>218</v>
      </c>
      <c r="AG688" s="245">
        <v>-5.5</v>
      </c>
      <c r="AH688" s="245">
        <v>68</v>
      </c>
      <c r="AI688" s="245">
        <v>63</v>
      </c>
      <c r="AJ688" s="245">
        <v>47</v>
      </c>
      <c r="AK688" s="245" t="s">
        <v>971</v>
      </c>
      <c r="AL688" s="245" t="s">
        <v>931</v>
      </c>
      <c r="AM688" s="246">
        <v>3.4</v>
      </c>
      <c r="AN688" s="235">
        <v>257</v>
      </c>
      <c r="AO688" s="247" t="s">
        <v>1058</v>
      </c>
      <c r="AP688" s="247">
        <v>1000</v>
      </c>
      <c r="AQ688" s="247">
        <v>23.1</v>
      </c>
      <c r="AR688" s="247">
        <v>27.2</v>
      </c>
      <c r="AS688" s="247">
        <v>25.5</v>
      </c>
      <c r="AT688" s="247">
        <v>37</v>
      </c>
      <c r="AU688" s="247">
        <v>8.6999999999999993</v>
      </c>
      <c r="AV688" s="247">
        <v>81</v>
      </c>
      <c r="AW688" s="247">
        <v>70</v>
      </c>
      <c r="AX688" s="247">
        <v>508</v>
      </c>
      <c r="AY688" s="247">
        <v>109</v>
      </c>
      <c r="AZ688" s="247" t="s">
        <v>973</v>
      </c>
      <c r="BA688" s="248" t="s">
        <v>934</v>
      </c>
      <c r="BB688" s="235">
        <v>228</v>
      </c>
      <c r="BC688" s="247" t="s">
        <v>1056</v>
      </c>
      <c r="BD688" s="247">
        <v>1.2</v>
      </c>
      <c r="BE688" s="247">
        <v>1.6</v>
      </c>
      <c r="BF688" s="247">
        <v>3</v>
      </c>
      <c r="BG688" s="247">
        <v>5.3</v>
      </c>
      <c r="BH688" s="247">
        <v>9</v>
      </c>
      <c r="BI688" s="247">
        <v>14.6</v>
      </c>
      <c r="BJ688" s="247">
        <v>19.8</v>
      </c>
      <c r="BK688" s="247">
        <v>20</v>
      </c>
      <c r="BL688" s="247">
        <v>12.8</v>
      </c>
      <c r="BM688" s="247">
        <v>6.8</v>
      </c>
      <c r="BN688" s="247">
        <v>3.2</v>
      </c>
      <c r="BO688" s="247">
        <v>1.5</v>
      </c>
      <c r="BP688" s="248">
        <v>8.1999999999999993</v>
      </c>
    </row>
    <row r="689" spans="1:68" ht="14.25" customHeight="1">
      <c r="A689" s="233">
        <v>32</v>
      </c>
      <c r="B689" s="234">
        <v>45</v>
      </c>
      <c r="C689" s="244" t="s">
        <v>928</v>
      </c>
      <c r="D689" s="244" t="s">
        <v>1059</v>
      </c>
      <c r="E689" s="244" t="s">
        <v>142</v>
      </c>
      <c r="F689" s="245">
        <v>-6.7</v>
      </c>
      <c r="G689" s="245">
        <v>-5.6</v>
      </c>
      <c r="H689" s="245">
        <v>0.4</v>
      </c>
      <c r="I689" s="245">
        <v>9.9</v>
      </c>
      <c r="J689" s="245">
        <v>18</v>
      </c>
      <c r="K689" s="245">
        <v>22.8</v>
      </c>
      <c r="L689" s="245">
        <v>25.3</v>
      </c>
      <c r="M689" s="245">
        <v>23.6</v>
      </c>
      <c r="N689" s="245">
        <v>17.3</v>
      </c>
      <c r="O689" s="245">
        <v>9.6</v>
      </c>
      <c r="P689" s="245">
        <v>2.4</v>
      </c>
      <c r="Q689" s="245">
        <v>-3.2</v>
      </c>
      <c r="R689" s="246">
        <v>9.5</v>
      </c>
      <c r="S689" s="233">
        <v>45</v>
      </c>
      <c r="T689" s="247" t="s">
        <v>1060</v>
      </c>
      <c r="U689" s="245">
        <v>-27</v>
      </c>
      <c r="V689" s="245">
        <v>-26</v>
      </c>
      <c r="W689" s="245">
        <v>-24</v>
      </c>
      <c r="X689" s="245">
        <v>-23</v>
      </c>
      <c r="Y689" s="245">
        <v>-12</v>
      </c>
      <c r="Z689" s="245">
        <v>-33</v>
      </c>
      <c r="AA689" s="245">
        <v>7.3</v>
      </c>
      <c r="AB689" s="245">
        <v>106</v>
      </c>
      <c r="AC689" s="245">
        <v>-4.2</v>
      </c>
      <c r="AD689" s="245">
        <v>167</v>
      </c>
      <c r="AE689" s="245">
        <v>-1.2</v>
      </c>
      <c r="AF689" s="245">
        <v>184</v>
      </c>
      <c r="AG689" s="245">
        <v>-0.3</v>
      </c>
      <c r="AH689" s="245">
        <v>84</v>
      </c>
      <c r="AI689" s="245">
        <v>71</v>
      </c>
      <c r="AJ689" s="245">
        <v>82</v>
      </c>
      <c r="AK689" s="245" t="s">
        <v>982</v>
      </c>
      <c r="AL689" s="245">
        <v>4.8</v>
      </c>
      <c r="AM689" s="246">
        <v>4.3</v>
      </c>
      <c r="AN689" s="235">
        <v>45</v>
      </c>
      <c r="AO689" s="247" t="s">
        <v>1061</v>
      </c>
      <c r="AP689" s="247">
        <v>1015</v>
      </c>
      <c r="AQ689" s="247">
        <v>28.4</v>
      </c>
      <c r="AR689" s="247">
        <v>32.1</v>
      </c>
      <c r="AS689" s="247">
        <v>31</v>
      </c>
      <c r="AT689" s="247">
        <v>40</v>
      </c>
      <c r="AU689" s="247">
        <v>11.1</v>
      </c>
      <c r="AV689" s="247">
        <v>55</v>
      </c>
      <c r="AW689" s="247">
        <v>36</v>
      </c>
      <c r="AX689" s="247">
        <v>126</v>
      </c>
      <c r="AY689" s="247">
        <v>73</v>
      </c>
      <c r="AZ689" s="247" t="s">
        <v>1038</v>
      </c>
      <c r="BA689" s="248">
        <v>3.6</v>
      </c>
      <c r="BB689" s="235">
        <v>31</v>
      </c>
      <c r="BC689" s="247" t="s">
        <v>142</v>
      </c>
      <c r="BD689" s="247">
        <v>3.6</v>
      </c>
      <c r="BE689" s="247">
        <v>3.7</v>
      </c>
      <c r="BF689" s="247">
        <v>5</v>
      </c>
      <c r="BG689" s="247">
        <v>7.5</v>
      </c>
      <c r="BH689" s="247">
        <v>11.3</v>
      </c>
      <c r="BI689" s="247">
        <v>15</v>
      </c>
      <c r="BJ689" s="247">
        <v>17.100000000000001</v>
      </c>
      <c r="BK689" s="247">
        <v>16.2</v>
      </c>
      <c r="BL689" s="247">
        <v>12.3</v>
      </c>
      <c r="BM689" s="247">
        <v>8.6</v>
      </c>
      <c r="BN689" s="247">
        <v>6.3</v>
      </c>
      <c r="BO689" s="247">
        <v>4.5999999999999996</v>
      </c>
      <c r="BP689" s="248">
        <v>9.3000000000000007</v>
      </c>
    </row>
    <row r="690" spans="1:68" ht="14.25" customHeight="1">
      <c r="A690" s="233">
        <v>33</v>
      </c>
      <c r="B690" s="234">
        <v>497</v>
      </c>
      <c r="C690" s="244" t="s">
        <v>960</v>
      </c>
      <c r="D690" s="244" t="s">
        <v>1053</v>
      </c>
      <c r="E690" s="244" t="s">
        <v>1062</v>
      </c>
      <c r="F690" s="245">
        <v>-17.899999999999999</v>
      </c>
      <c r="G690" s="245">
        <v>-17.5</v>
      </c>
      <c r="H690" s="245">
        <v>-11.1</v>
      </c>
      <c r="I690" s="245">
        <v>2.6</v>
      </c>
      <c r="J690" s="245">
        <v>12.4</v>
      </c>
      <c r="K690" s="245">
        <v>18.100000000000001</v>
      </c>
      <c r="L690" s="245">
        <v>20.2</v>
      </c>
      <c r="M690" s="245">
        <v>17.600000000000001</v>
      </c>
      <c r="N690" s="245">
        <v>11.4</v>
      </c>
      <c r="O690" s="245">
        <v>2.2999999999999998</v>
      </c>
      <c r="P690" s="245">
        <v>-7.5</v>
      </c>
      <c r="Q690" s="245">
        <v>-14.9</v>
      </c>
      <c r="R690" s="246">
        <v>1.3</v>
      </c>
      <c r="S690" s="233">
        <v>497</v>
      </c>
      <c r="T690" s="247" t="s">
        <v>1062</v>
      </c>
      <c r="U690" s="245">
        <v>-40</v>
      </c>
      <c r="V690" s="245">
        <v>-39</v>
      </c>
      <c r="W690" s="245">
        <v>-37</v>
      </c>
      <c r="X690" s="245">
        <v>-34</v>
      </c>
      <c r="Y690" s="245">
        <v>-25</v>
      </c>
      <c r="Z690" s="245">
        <v>-57</v>
      </c>
      <c r="AA690" s="245">
        <v>9.6</v>
      </c>
      <c r="AB690" s="245">
        <v>169</v>
      </c>
      <c r="AC690" s="245">
        <v>-11.7</v>
      </c>
      <c r="AD690" s="245">
        <v>215</v>
      </c>
      <c r="AE690" s="245">
        <v>-8.9</v>
      </c>
      <c r="AF690" s="245">
        <v>229</v>
      </c>
      <c r="AG690" s="245">
        <v>-7.7</v>
      </c>
      <c r="AH690" s="245">
        <v>81</v>
      </c>
      <c r="AI690" s="245">
        <v>78</v>
      </c>
      <c r="AJ690" s="245">
        <v>92</v>
      </c>
      <c r="AK690" s="245" t="s">
        <v>971</v>
      </c>
      <c r="AL690" s="245">
        <v>7.8</v>
      </c>
      <c r="AM690" s="246">
        <v>5.5</v>
      </c>
      <c r="AN690" s="235">
        <v>497</v>
      </c>
      <c r="AO690" s="247" t="s">
        <v>1063</v>
      </c>
      <c r="AP690" s="247" t="s">
        <v>965</v>
      </c>
      <c r="AQ690" s="247">
        <v>25.9</v>
      </c>
      <c r="AR690" s="247">
        <v>29.9</v>
      </c>
      <c r="AS690" s="247">
        <v>26.9</v>
      </c>
      <c r="AT690" s="247">
        <v>40</v>
      </c>
      <c r="AU690" s="247">
        <v>14.1</v>
      </c>
      <c r="AV690" s="247">
        <v>59</v>
      </c>
      <c r="AW690" s="247">
        <v>40</v>
      </c>
      <c r="AX690" s="247">
        <v>218</v>
      </c>
      <c r="AY690" s="247" t="s">
        <v>965</v>
      </c>
      <c r="AZ690" s="247" t="s">
        <v>959</v>
      </c>
      <c r="BA690" s="248">
        <v>4.7</v>
      </c>
      <c r="BB690" s="235"/>
      <c r="BC690" s="247" t="s">
        <v>1062</v>
      </c>
      <c r="BD690" s="247"/>
      <c r="BE690" s="247"/>
      <c r="BF690" s="247"/>
      <c r="BG690" s="247"/>
      <c r="BH690" s="247"/>
      <c r="BI690" s="247"/>
      <c r="BJ690" s="247"/>
      <c r="BK690" s="247"/>
      <c r="BL690" s="247"/>
      <c r="BM690" s="247"/>
      <c r="BN690" s="247"/>
      <c r="BO690" s="247"/>
      <c r="BP690" s="248"/>
    </row>
    <row r="691" spans="1:68" ht="14.25" customHeight="1">
      <c r="A691" s="233">
        <v>34</v>
      </c>
      <c r="B691" s="234">
        <v>504</v>
      </c>
      <c r="C691" s="244" t="s">
        <v>960</v>
      </c>
      <c r="D691" s="244" t="s">
        <v>1064</v>
      </c>
      <c r="E691" s="244" t="s">
        <v>1065</v>
      </c>
      <c r="F691" s="245">
        <v>-9.6</v>
      </c>
      <c r="G691" s="245">
        <v>-8.6999999999999993</v>
      </c>
      <c r="H691" s="245">
        <v>-1.5</v>
      </c>
      <c r="I691" s="245">
        <v>9.6</v>
      </c>
      <c r="J691" s="245">
        <v>18.2</v>
      </c>
      <c r="K691" s="245">
        <v>23.4</v>
      </c>
      <c r="L691" s="245">
        <v>25.7</v>
      </c>
      <c r="M691" s="245">
        <v>23.7</v>
      </c>
      <c r="N691" s="245">
        <v>16.8</v>
      </c>
      <c r="O691" s="245">
        <v>8.1999999999999993</v>
      </c>
      <c r="P691" s="245">
        <v>0.4</v>
      </c>
      <c r="Q691" s="245">
        <v>-5.6</v>
      </c>
      <c r="R691" s="246">
        <v>8.4</v>
      </c>
      <c r="S691" s="233">
        <v>504</v>
      </c>
      <c r="T691" s="247" t="s">
        <v>1065</v>
      </c>
      <c r="U691" s="245">
        <v>-33</v>
      </c>
      <c r="V691" s="245">
        <v>-30</v>
      </c>
      <c r="W691" s="245">
        <v>-28</v>
      </c>
      <c r="X691" s="245">
        <v>-25</v>
      </c>
      <c r="Y691" s="245">
        <v>-8</v>
      </c>
      <c r="Z691" s="245">
        <v>-38</v>
      </c>
      <c r="AA691" s="245">
        <v>8.1</v>
      </c>
      <c r="AB691" s="245">
        <v>125</v>
      </c>
      <c r="AC691" s="245">
        <v>-6.4</v>
      </c>
      <c r="AD691" s="245">
        <v>177</v>
      </c>
      <c r="AE691" s="245">
        <v>-3.4</v>
      </c>
      <c r="AF691" s="245">
        <v>191</v>
      </c>
      <c r="AG691" s="245">
        <v>-2.4</v>
      </c>
      <c r="AH691" s="245">
        <v>84</v>
      </c>
      <c r="AI691" s="245">
        <v>75</v>
      </c>
      <c r="AJ691" s="245">
        <v>77</v>
      </c>
      <c r="AK691" s="245" t="s">
        <v>982</v>
      </c>
      <c r="AL691" s="245">
        <v>6</v>
      </c>
      <c r="AM691" s="246">
        <v>5.8</v>
      </c>
      <c r="AN691" s="235">
        <v>504</v>
      </c>
      <c r="AO691" s="247" t="s">
        <v>1066</v>
      </c>
      <c r="AP691" s="247">
        <v>1020</v>
      </c>
      <c r="AQ691" s="247">
        <v>31.2</v>
      </c>
      <c r="AR691" s="247">
        <v>34.200000000000003</v>
      </c>
      <c r="AS691" s="247">
        <v>32.1</v>
      </c>
      <c r="AT691" s="247">
        <v>43</v>
      </c>
      <c r="AU691" s="247">
        <v>13.1</v>
      </c>
      <c r="AV691" s="247">
        <v>46</v>
      </c>
      <c r="AW691" s="247">
        <v>29</v>
      </c>
      <c r="AX691" s="247">
        <v>113</v>
      </c>
      <c r="AY691" s="247" t="s">
        <v>965</v>
      </c>
      <c r="AZ691" s="247" t="s">
        <v>1067</v>
      </c>
      <c r="BA691" s="248">
        <v>4.7</v>
      </c>
      <c r="BB691" s="235"/>
      <c r="BC691" s="247" t="s">
        <v>1065</v>
      </c>
      <c r="BD691" s="247"/>
      <c r="BE691" s="247"/>
      <c r="BF691" s="247"/>
      <c r="BG691" s="247"/>
      <c r="BH691" s="247"/>
      <c r="BI691" s="247"/>
      <c r="BJ691" s="247"/>
      <c r="BK691" s="247"/>
      <c r="BL691" s="247"/>
      <c r="BM691" s="247"/>
      <c r="BN691" s="247"/>
      <c r="BO691" s="247"/>
      <c r="BP691" s="248"/>
    </row>
    <row r="692" spans="1:68" ht="14.25" customHeight="1">
      <c r="A692" s="233">
        <v>35</v>
      </c>
      <c r="B692" s="234">
        <v>478</v>
      </c>
      <c r="C692" s="244" t="s">
        <v>1068</v>
      </c>
      <c r="D692" s="244" t="s">
        <v>1068</v>
      </c>
      <c r="E692" s="244" t="s">
        <v>1069</v>
      </c>
      <c r="F692" s="245">
        <v>-6.6</v>
      </c>
      <c r="G692" s="245">
        <v>-5.5</v>
      </c>
      <c r="H692" s="245">
        <v>-1.4</v>
      </c>
      <c r="I692" s="245">
        <v>5.2</v>
      </c>
      <c r="J692" s="245">
        <v>9.6999999999999993</v>
      </c>
      <c r="K692" s="245">
        <v>12.6</v>
      </c>
      <c r="L692" s="245">
        <v>15.8</v>
      </c>
      <c r="M692" s="245">
        <v>15.5</v>
      </c>
      <c r="N692" s="245">
        <v>12</v>
      </c>
      <c r="O692" s="245">
        <v>6.8</v>
      </c>
      <c r="P692" s="245">
        <v>1.6</v>
      </c>
      <c r="Q692" s="245">
        <v>-3.7</v>
      </c>
      <c r="R692" s="246">
        <v>5.2</v>
      </c>
      <c r="S692" s="233">
        <v>478</v>
      </c>
      <c r="T692" s="247" t="s">
        <v>1070</v>
      </c>
      <c r="U692" s="245">
        <v>-24</v>
      </c>
      <c r="V692" s="245">
        <v>-21</v>
      </c>
      <c r="W692" s="245">
        <v>-18</v>
      </c>
      <c r="X692" s="245">
        <v>-15</v>
      </c>
      <c r="Y692" s="245">
        <v>-8</v>
      </c>
      <c r="Z692" s="245">
        <v>-38</v>
      </c>
      <c r="AA692" s="245">
        <v>9.9</v>
      </c>
      <c r="AB692" s="245">
        <v>117</v>
      </c>
      <c r="AC692" s="245">
        <v>-4.5</v>
      </c>
      <c r="AD692" s="245">
        <v>206</v>
      </c>
      <c r="AE692" s="245">
        <v>-0.8</v>
      </c>
      <c r="AF692" s="245">
        <v>233</v>
      </c>
      <c r="AG692" s="245">
        <v>0.4</v>
      </c>
      <c r="AH692" s="245" t="s">
        <v>956</v>
      </c>
      <c r="AI692" s="245">
        <v>61</v>
      </c>
      <c r="AJ692" s="245">
        <v>152</v>
      </c>
      <c r="AK692" s="245" t="s">
        <v>990</v>
      </c>
      <c r="AL692" s="245" t="s">
        <v>931</v>
      </c>
      <c r="AM692" s="246">
        <v>5.0999999999999996</v>
      </c>
      <c r="AN692" s="235">
        <v>478</v>
      </c>
      <c r="AO692" s="247" t="s">
        <v>1071</v>
      </c>
      <c r="AP692" s="247">
        <v>825</v>
      </c>
      <c r="AQ692" s="247">
        <v>20</v>
      </c>
      <c r="AR692" s="247">
        <v>25</v>
      </c>
      <c r="AS692" s="247">
        <v>21.7</v>
      </c>
      <c r="AT692" s="247">
        <v>37</v>
      </c>
      <c r="AU692" s="247">
        <v>14.6</v>
      </c>
      <c r="AV692" s="247">
        <v>72</v>
      </c>
      <c r="AW692" s="247">
        <v>47</v>
      </c>
      <c r="AX692" s="247" t="s">
        <v>931</v>
      </c>
      <c r="AY692" s="247">
        <v>63</v>
      </c>
      <c r="AZ692" s="247" t="s">
        <v>1005</v>
      </c>
      <c r="BA692" s="248">
        <v>1.5</v>
      </c>
      <c r="BB692" s="235"/>
      <c r="BC692" s="247" t="s">
        <v>1070</v>
      </c>
      <c r="BD692" s="247"/>
      <c r="BE692" s="247"/>
      <c r="BF692" s="247"/>
      <c r="BG692" s="247"/>
      <c r="BH692" s="247"/>
      <c r="BI692" s="247"/>
      <c r="BJ692" s="247"/>
      <c r="BK692" s="247"/>
      <c r="BL692" s="247"/>
      <c r="BM692" s="247"/>
      <c r="BN692" s="247"/>
      <c r="BO692" s="247"/>
      <c r="BP692" s="248"/>
    </row>
    <row r="693" spans="1:68" ht="14.25" customHeight="1">
      <c r="A693" s="233">
        <v>36</v>
      </c>
      <c r="B693" s="234">
        <v>170</v>
      </c>
      <c r="C693" s="244" t="s">
        <v>928</v>
      </c>
      <c r="D693" s="244" t="s">
        <v>935</v>
      </c>
      <c r="E693" s="244" t="s">
        <v>145</v>
      </c>
      <c r="F693" s="245">
        <v>-17.7</v>
      </c>
      <c r="G693" s="245">
        <v>-15.6</v>
      </c>
      <c r="H693" s="245">
        <v>-9.1</v>
      </c>
      <c r="I693" s="245">
        <v>0.4</v>
      </c>
      <c r="J693" s="245">
        <v>8.6</v>
      </c>
      <c r="K693" s="245">
        <v>15.6</v>
      </c>
      <c r="L693" s="245">
        <v>17.899999999999999</v>
      </c>
      <c r="M693" s="245">
        <v>15</v>
      </c>
      <c r="N693" s="245">
        <v>9</v>
      </c>
      <c r="O693" s="245">
        <v>0.6</v>
      </c>
      <c r="P693" s="245">
        <v>-9.3000000000000007</v>
      </c>
      <c r="Q693" s="245">
        <v>-16.3</v>
      </c>
      <c r="R693" s="246">
        <v>-0.1</v>
      </c>
      <c r="S693" s="233">
        <v>170</v>
      </c>
      <c r="T693" s="247" t="s">
        <v>1072</v>
      </c>
      <c r="U693" s="245">
        <v>-49</v>
      </c>
      <c r="V693" s="245">
        <v>-45</v>
      </c>
      <c r="W693" s="245">
        <v>-46</v>
      </c>
      <c r="X693" s="245">
        <v>-41</v>
      </c>
      <c r="Y693" s="245">
        <v>-23</v>
      </c>
      <c r="Z693" s="245">
        <v>-60</v>
      </c>
      <c r="AA693" s="245">
        <v>9.1999999999999993</v>
      </c>
      <c r="AB693" s="245">
        <v>178</v>
      </c>
      <c r="AC693" s="245">
        <v>-11.4</v>
      </c>
      <c r="AD693" s="245">
        <v>237</v>
      </c>
      <c r="AE693" s="245">
        <v>-7.6</v>
      </c>
      <c r="AF693" s="245">
        <v>254</v>
      </c>
      <c r="AG693" s="245">
        <v>-6.5</v>
      </c>
      <c r="AH693" s="245">
        <v>75</v>
      </c>
      <c r="AI693" s="245">
        <v>73</v>
      </c>
      <c r="AJ693" s="245">
        <v>102</v>
      </c>
      <c r="AK693" s="245" t="s">
        <v>971</v>
      </c>
      <c r="AL693" s="245">
        <v>5.7</v>
      </c>
      <c r="AM693" s="246">
        <v>4.7</v>
      </c>
      <c r="AN693" s="235">
        <v>170</v>
      </c>
      <c r="AO693" s="247" t="s">
        <v>1073</v>
      </c>
      <c r="AP693" s="247">
        <v>980</v>
      </c>
      <c r="AQ693" s="247">
        <v>21.8</v>
      </c>
      <c r="AR693" s="247">
        <v>26</v>
      </c>
      <c r="AS693" s="247">
        <v>24.2</v>
      </c>
      <c r="AT693" s="247">
        <v>39</v>
      </c>
      <c r="AU693" s="247">
        <v>12.4</v>
      </c>
      <c r="AV693" s="247">
        <v>70</v>
      </c>
      <c r="AW693" s="247">
        <v>55</v>
      </c>
      <c r="AX693" s="247">
        <v>366</v>
      </c>
      <c r="AY693" s="247">
        <v>99</v>
      </c>
      <c r="AZ693" s="247" t="s">
        <v>952</v>
      </c>
      <c r="BA693" s="248">
        <v>3.2</v>
      </c>
      <c r="BB693" s="235">
        <v>149</v>
      </c>
      <c r="BC693" s="247" t="s">
        <v>145</v>
      </c>
      <c r="BD693" s="247">
        <v>1.5</v>
      </c>
      <c r="BE693" s="247">
        <v>1.6</v>
      </c>
      <c r="BF693" s="247">
        <v>2.5</v>
      </c>
      <c r="BG693" s="247">
        <v>4.3</v>
      </c>
      <c r="BH693" s="247">
        <v>6.3</v>
      </c>
      <c r="BI693" s="247">
        <v>11.2</v>
      </c>
      <c r="BJ693" s="247">
        <v>14.5</v>
      </c>
      <c r="BK693" s="247">
        <v>12.7</v>
      </c>
      <c r="BL693" s="247">
        <v>8.4</v>
      </c>
      <c r="BM693" s="247">
        <v>4.9000000000000004</v>
      </c>
      <c r="BN693" s="247">
        <v>2.7</v>
      </c>
      <c r="BO693" s="247">
        <v>1.7</v>
      </c>
      <c r="BP693" s="248">
        <v>6</v>
      </c>
    </row>
    <row r="694" spans="1:68" ht="14.25" customHeight="1">
      <c r="A694" s="233">
        <v>37</v>
      </c>
      <c r="B694" s="234">
        <v>550</v>
      </c>
      <c r="C694" s="249" t="s">
        <v>1074</v>
      </c>
      <c r="D694" s="249" t="s">
        <v>1075</v>
      </c>
      <c r="E694" s="244" t="s">
        <v>1076</v>
      </c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6"/>
      <c r="S694" s="250">
        <v>550</v>
      </c>
      <c r="T694" s="247" t="s">
        <v>1076</v>
      </c>
      <c r="U694" s="245">
        <v>-19</v>
      </c>
      <c r="V694" s="245">
        <v>-16</v>
      </c>
      <c r="W694" s="245">
        <v>-15</v>
      </c>
      <c r="X694" s="245">
        <v>-11</v>
      </c>
      <c r="Y694" s="245">
        <v>-2</v>
      </c>
      <c r="Z694" s="245">
        <v>-24</v>
      </c>
      <c r="AA694" s="245">
        <v>8.8000000000000007</v>
      </c>
      <c r="AB694" s="245">
        <v>0</v>
      </c>
      <c r="AC694" s="245" t="s">
        <v>830</v>
      </c>
      <c r="AD694" s="245">
        <v>108</v>
      </c>
      <c r="AE694" s="245">
        <v>4</v>
      </c>
      <c r="AF694" s="245">
        <v>128</v>
      </c>
      <c r="AG694" s="245">
        <v>4.8</v>
      </c>
      <c r="AH694" s="245" t="s">
        <v>956</v>
      </c>
      <c r="AI694" s="245">
        <v>69</v>
      </c>
      <c r="AJ694" s="245">
        <v>139</v>
      </c>
      <c r="AK694" s="245" t="s">
        <v>982</v>
      </c>
      <c r="AL694" s="245">
        <v>2.2999999999999998</v>
      </c>
      <c r="AM694" s="246" t="s">
        <v>931</v>
      </c>
      <c r="AN694" s="235">
        <v>551</v>
      </c>
      <c r="AO694" s="247" t="s">
        <v>1077</v>
      </c>
      <c r="AP694" s="247">
        <v>990</v>
      </c>
      <c r="AQ694" s="247">
        <v>40</v>
      </c>
      <c r="AR694" s="247">
        <v>35</v>
      </c>
      <c r="AS694" s="247">
        <v>38.200000000000003</v>
      </c>
      <c r="AT694" s="247">
        <v>48</v>
      </c>
      <c r="AU694" s="247">
        <v>15.1</v>
      </c>
      <c r="AV694" s="247">
        <v>35</v>
      </c>
      <c r="AW694" s="247">
        <v>22</v>
      </c>
      <c r="AX694" s="247">
        <v>104</v>
      </c>
      <c r="AY694" s="247">
        <v>80</v>
      </c>
      <c r="AZ694" s="247" t="s">
        <v>959</v>
      </c>
      <c r="BA694" s="248">
        <v>1.2</v>
      </c>
      <c r="BB694" s="235"/>
      <c r="BC694" s="247" t="s">
        <v>1076</v>
      </c>
      <c r="BD694" s="247"/>
      <c r="BE694" s="247"/>
      <c r="BF694" s="247"/>
      <c r="BG694" s="247"/>
      <c r="BH694" s="247"/>
      <c r="BI694" s="247"/>
      <c r="BJ694" s="247"/>
      <c r="BK694" s="247"/>
      <c r="BL694" s="247"/>
      <c r="BM694" s="247"/>
      <c r="BN694" s="247"/>
      <c r="BO694" s="247"/>
      <c r="BP694" s="248"/>
    </row>
    <row r="695" spans="1:68" ht="14.25" customHeight="1">
      <c r="A695" s="233">
        <v>38</v>
      </c>
      <c r="B695" s="234">
        <v>529</v>
      </c>
      <c r="C695" s="244" t="s">
        <v>960</v>
      </c>
      <c r="D695" s="244" t="s">
        <v>1078</v>
      </c>
      <c r="E695" s="244" t="s">
        <v>1079</v>
      </c>
      <c r="F695" s="245">
        <v>-16.5</v>
      </c>
      <c r="G695" s="245">
        <v>-15.8</v>
      </c>
      <c r="H695" s="245">
        <v>-8</v>
      </c>
      <c r="I695" s="245">
        <v>5</v>
      </c>
      <c r="J695" s="245">
        <v>12.7</v>
      </c>
      <c r="K695" s="245">
        <v>18.3</v>
      </c>
      <c r="L695" s="245">
        <v>20.7</v>
      </c>
      <c r="M695" s="245">
        <v>18.5</v>
      </c>
      <c r="N695" s="245">
        <v>12.1</v>
      </c>
      <c r="O695" s="245">
        <v>3.6</v>
      </c>
      <c r="P695" s="245">
        <v>-7.2</v>
      </c>
      <c r="Q695" s="245">
        <v>-14.1</v>
      </c>
      <c r="R695" s="246">
        <v>2.4</v>
      </c>
      <c r="S695" s="233">
        <v>529</v>
      </c>
      <c r="T695" s="247" t="s">
        <v>1079</v>
      </c>
      <c r="U695" s="245">
        <v>-42</v>
      </c>
      <c r="V695" s="245">
        <v>-41</v>
      </c>
      <c r="W695" s="245">
        <v>-40</v>
      </c>
      <c r="X695" s="245">
        <v>-39</v>
      </c>
      <c r="Y695" s="245" t="s">
        <v>956</v>
      </c>
      <c r="Z695" s="245" t="s">
        <v>931</v>
      </c>
      <c r="AA695" s="245">
        <v>11.6</v>
      </c>
      <c r="AB695" s="245">
        <v>159</v>
      </c>
      <c r="AC695" s="245">
        <v>-11.7</v>
      </c>
      <c r="AD695" s="245">
        <v>205</v>
      </c>
      <c r="AE695" s="245">
        <v>-8.1</v>
      </c>
      <c r="AF695" s="245">
        <v>222</v>
      </c>
      <c r="AG695" s="245">
        <v>-6.8</v>
      </c>
      <c r="AH695" s="245">
        <v>75</v>
      </c>
      <c r="AI695" s="245" t="s">
        <v>956</v>
      </c>
      <c r="AJ695" s="245">
        <v>99</v>
      </c>
      <c r="AK695" s="245" t="s">
        <v>931</v>
      </c>
      <c r="AL695" s="245" t="s">
        <v>931</v>
      </c>
      <c r="AM695" s="246" t="s">
        <v>931</v>
      </c>
      <c r="AN695" s="235">
        <v>529</v>
      </c>
      <c r="AO695" s="247" t="s">
        <v>1080</v>
      </c>
      <c r="AP695" s="247" t="s">
        <v>965</v>
      </c>
      <c r="AQ695" s="247" t="s">
        <v>958</v>
      </c>
      <c r="AR695" s="247" t="s">
        <v>931</v>
      </c>
      <c r="AS695" s="247">
        <v>28.2</v>
      </c>
      <c r="AT695" s="247">
        <v>40</v>
      </c>
      <c r="AU695" s="247">
        <v>15.7</v>
      </c>
      <c r="AV695" s="247">
        <v>50</v>
      </c>
      <c r="AW695" s="247" t="s">
        <v>931</v>
      </c>
      <c r="AX695" s="247">
        <v>192</v>
      </c>
      <c r="AY695" s="247" t="s">
        <v>965</v>
      </c>
      <c r="AZ695" s="247" t="s">
        <v>933</v>
      </c>
      <c r="BA695" s="248" t="s">
        <v>934</v>
      </c>
      <c r="BB695" s="235"/>
      <c r="BC695" s="247" t="s">
        <v>1079</v>
      </c>
      <c r="BD695" s="247"/>
      <c r="BE695" s="247"/>
      <c r="BF695" s="247"/>
      <c r="BG695" s="247"/>
      <c r="BH695" s="247"/>
      <c r="BI695" s="247"/>
      <c r="BJ695" s="247"/>
      <c r="BK695" s="247"/>
      <c r="BL695" s="247"/>
      <c r="BM695" s="247"/>
      <c r="BN695" s="247"/>
      <c r="BO695" s="247"/>
      <c r="BP695" s="248"/>
    </row>
    <row r="696" spans="1:68" ht="14.25" customHeight="1">
      <c r="A696" s="233">
        <v>39</v>
      </c>
      <c r="B696" s="234">
        <v>345</v>
      </c>
      <c r="C696" s="244" t="s">
        <v>928</v>
      </c>
      <c r="D696" s="244" t="s">
        <v>1081</v>
      </c>
      <c r="E696" s="244" t="s">
        <v>1082</v>
      </c>
      <c r="F696" s="245">
        <v>-19.7</v>
      </c>
      <c r="G696" s="245">
        <v>-17.600000000000001</v>
      </c>
      <c r="H696" s="245">
        <v>-11.6</v>
      </c>
      <c r="I696" s="245">
        <v>-3.8</v>
      </c>
      <c r="J696" s="245">
        <v>0.8</v>
      </c>
      <c r="K696" s="245">
        <v>5.6</v>
      </c>
      <c r="L696" s="245">
        <v>11.4</v>
      </c>
      <c r="M696" s="245">
        <v>13.2</v>
      </c>
      <c r="N696" s="245">
        <v>9.6</v>
      </c>
      <c r="O696" s="245">
        <v>0.4</v>
      </c>
      <c r="P696" s="245">
        <v>-11</v>
      </c>
      <c r="Q696" s="245">
        <v>-17.399999999999999</v>
      </c>
      <c r="R696" s="246">
        <v>-3.3</v>
      </c>
      <c r="S696" s="233">
        <v>345</v>
      </c>
      <c r="T696" s="247" t="s">
        <v>1083</v>
      </c>
      <c r="U696" s="245">
        <v>-33</v>
      </c>
      <c r="V696" s="245">
        <v>-31</v>
      </c>
      <c r="W696" s="245">
        <v>-30</v>
      </c>
      <c r="X696" s="245">
        <v>-28</v>
      </c>
      <c r="Y696" s="245">
        <v>-24</v>
      </c>
      <c r="Z696" s="245">
        <v>-37</v>
      </c>
      <c r="AA696" s="245">
        <v>7.2</v>
      </c>
      <c r="AB696" s="245">
        <v>203</v>
      </c>
      <c r="AC696" s="245">
        <v>-11.7</v>
      </c>
      <c r="AD696" s="245">
        <v>278</v>
      </c>
      <c r="AE696" s="245">
        <v>-7.4</v>
      </c>
      <c r="AF696" s="245">
        <v>300</v>
      </c>
      <c r="AG696" s="245">
        <v>-6.2</v>
      </c>
      <c r="AH696" s="245">
        <v>50</v>
      </c>
      <c r="AI696" s="245">
        <v>47</v>
      </c>
      <c r="AJ696" s="245">
        <v>129</v>
      </c>
      <c r="AK696" s="245" t="s">
        <v>944</v>
      </c>
      <c r="AL696" s="245" t="s">
        <v>931</v>
      </c>
      <c r="AM696" s="246">
        <v>3.4</v>
      </c>
      <c r="AN696" s="235">
        <v>345</v>
      </c>
      <c r="AO696" s="247" t="s">
        <v>1084</v>
      </c>
      <c r="AP696" s="247">
        <v>1010</v>
      </c>
      <c r="AQ696" s="247">
        <v>13.9</v>
      </c>
      <c r="AR696" s="247">
        <v>18</v>
      </c>
      <c r="AS696" s="247">
        <v>16.5</v>
      </c>
      <c r="AT696" s="247">
        <v>33</v>
      </c>
      <c r="AU696" s="247">
        <v>6.4</v>
      </c>
      <c r="AV696" s="247">
        <v>88</v>
      </c>
      <c r="AW696" s="247">
        <v>79</v>
      </c>
      <c r="AX696" s="247">
        <v>790</v>
      </c>
      <c r="AY696" s="247">
        <v>235</v>
      </c>
      <c r="AZ696" s="247" t="s">
        <v>940</v>
      </c>
      <c r="BA696" s="248" t="s">
        <v>934</v>
      </c>
      <c r="BB696" s="235">
        <v>310</v>
      </c>
      <c r="BC696" s="247" t="s">
        <v>1082</v>
      </c>
      <c r="BD696" s="247">
        <v>0.8</v>
      </c>
      <c r="BE696" s="247">
        <v>0.9</v>
      </c>
      <c r="BF696" s="247">
        <v>1.7</v>
      </c>
      <c r="BG696" s="247">
        <v>3.4</v>
      </c>
      <c r="BH696" s="247">
        <v>5.4</v>
      </c>
      <c r="BI696" s="247">
        <v>8.1999999999999993</v>
      </c>
      <c r="BJ696" s="247">
        <v>11.8</v>
      </c>
      <c r="BK696" s="247">
        <v>12.7</v>
      </c>
      <c r="BL696" s="247">
        <v>9</v>
      </c>
      <c r="BM696" s="247">
        <v>4</v>
      </c>
      <c r="BN696" s="247">
        <v>1.7</v>
      </c>
      <c r="BO696" s="247">
        <v>1</v>
      </c>
      <c r="BP696" s="248">
        <v>5</v>
      </c>
    </row>
    <row r="697" spans="1:68" ht="14.25" customHeight="1">
      <c r="A697" s="233">
        <v>40</v>
      </c>
      <c r="B697" s="234">
        <v>72</v>
      </c>
      <c r="C697" s="244" t="s">
        <v>928</v>
      </c>
      <c r="D697" s="244" t="s">
        <v>1085</v>
      </c>
      <c r="E697" s="244" t="s">
        <v>1086</v>
      </c>
      <c r="F697" s="245">
        <v>-11.6</v>
      </c>
      <c r="G697" s="245">
        <v>-10.5</v>
      </c>
      <c r="H697" s="245">
        <v>-5.4</v>
      </c>
      <c r="I697" s="245">
        <v>2.4</v>
      </c>
      <c r="J697" s="245">
        <v>9.5</v>
      </c>
      <c r="K697" s="245">
        <v>14.7</v>
      </c>
      <c r="L697" s="245">
        <v>16.8</v>
      </c>
      <c r="M697" s="245">
        <v>14.9</v>
      </c>
      <c r="N697" s="245">
        <v>9.1999999999999993</v>
      </c>
      <c r="O697" s="245">
        <v>2.9</v>
      </c>
      <c r="P697" s="245">
        <v>-2.6</v>
      </c>
      <c r="Q697" s="245">
        <v>-8</v>
      </c>
      <c r="R697" s="246">
        <v>2.7</v>
      </c>
      <c r="S697" s="233">
        <v>72</v>
      </c>
      <c r="T697" s="247" t="s">
        <v>1087</v>
      </c>
      <c r="U697" s="245">
        <v>-40</v>
      </c>
      <c r="V697" s="245">
        <v>-36</v>
      </c>
      <c r="W697" s="245">
        <v>-36</v>
      </c>
      <c r="X697" s="245">
        <v>-31</v>
      </c>
      <c r="Y697" s="245">
        <v>-17</v>
      </c>
      <c r="Z697" s="245">
        <v>-47</v>
      </c>
      <c r="AA697" s="245">
        <v>7.5</v>
      </c>
      <c r="AB697" s="245">
        <v>158</v>
      </c>
      <c r="AC697" s="245">
        <v>-7.3</v>
      </c>
      <c r="AD697" s="245">
        <v>231</v>
      </c>
      <c r="AE697" s="245">
        <v>-3.8</v>
      </c>
      <c r="AF697" s="245">
        <v>250</v>
      </c>
      <c r="AG697" s="245">
        <v>-2.7</v>
      </c>
      <c r="AH697" s="245">
        <v>86</v>
      </c>
      <c r="AI697" s="245">
        <v>84</v>
      </c>
      <c r="AJ697" s="245">
        <v>174</v>
      </c>
      <c r="AK697" s="245" t="s">
        <v>971</v>
      </c>
      <c r="AL697" s="245" t="s">
        <v>931</v>
      </c>
      <c r="AM697" s="246">
        <v>3.6</v>
      </c>
      <c r="AN697" s="235">
        <v>72</v>
      </c>
      <c r="AO697" s="247" t="s">
        <v>1088</v>
      </c>
      <c r="AP697" s="247">
        <v>1000</v>
      </c>
      <c r="AQ697" s="247">
        <v>21</v>
      </c>
      <c r="AR697" s="247">
        <v>26</v>
      </c>
      <c r="AS697" s="247">
        <v>22.5</v>
      </c>
      <c r="AT697" s="247">
        <v>35</v>
      </c>
      <c r="AU697" s="247">
        <v>11.6</v>
      </c>
      <c r="AV697" s="247">
        <v>73</v>
      </c>
      <c r="AW697" s="247">
        <v>60</v>
      </c>
      <c r="AX697" s="247">
        <v>450</v>
      </c>
      <c r="AY697" s="247">
        <v>60</v>
      </c>
      <c r="AZ697" s="247">
        <v>3</v>
      </c>
      <c r="BA697" s="248" t="s">
        <v>934</v>
      </c>
      <c r="BB697" s="235">
        <v>57</v>
      </c>
      <c r="BC697" s="247" t="s">
        <v>1086</v>
      </c>
      <c r="BD697" s="247">
        <v>2.7</v>
      </c>
      <c r="BE697" s="247">
        <v>2.7</v>
      </c>
      <c r="BF697" s="247">
        <v>3.5</v>
      </c>
      <c r="BG697" s="247">
        <v>5.3</v>
      </c>
      <c r="BH697" s="247">
        <v>7.7</v>
      </c>
      <c r="BI697" s="247">
        <v>11.1</v>
      </c>
      <c r="BJ697" s="247">
        <v>13.9</v>
      </c>
      <c r="BK697" s="247">
        <v>13.2</v>
      </c>
      <c r="BL697" s="247">
        <v>9.8000000000000007</v>
      </c>
      <c r="BM697" s="247">
        <v>6.7</v>
      </c>
      <c r="BN697" s="247">
        <v>4.8</v>
      </c>
      <c r="BO697" s="247">
        <v>3.5</v>
      </c>
      <c r="BP697" s="248">
        <v>7.1</v>
      </c>
    </row>
    <row r="698" spans="1:68" ht="14.25" customHeight="1">
      <c r="A698" s="233">
        <v>41</v>
      </c>
      <c r="B698" s="234">
        <v>54</v>
      </c>
      <c r="C698" s="244" t="s">
        <v>928</v>
      </c>
      <c r="D698" s="244" t="s">
        <v>1089</v>
      </c>
      <c r="E698" s="244" t="s">
        <v>1090</v>
      </c>
      <c r="F698" s="245">
        <v>-16.399999999999999</v>
      </c>
      <c r="G698" s="245">
        <v>-16.600000000000001</v>
      </c>
      <c r="H698" s="245">
        <v>-9.6999999999999993</v>
      </c>
      <c r="I698" s="245">
        <v>-0.7</v>
      </c>
      <c r="J698" s="245">
        <v>5.2</v>
      </c>
      <c r="K698" s="245">
        <v>10.7</v>
      </c>
      <c r="L698" s="245">
        <v>14.2</v>
      </c>
      <c r="M698" s="245">
        <v>14.2</v>
      </c>
      <c r="N698" s="245">
        <v>8.9</v>
      </c>
      <c r="O698" s="245">
        <v>2.5</v>
      </c>
      <c r="P698" s="245">
        <v>-5.0999999999999996</v>
      </c>
      <c r="Q698" s="245">
        <v>-10.5</v>
      </c>
      <c r="R698" s="246">
        <v>-0.3</v>
      </c>
      <c r="S698" s="233">
        <v>54</v>
      </c>
      <c r="T698" s="247" t="s">
        <v>1091</v>
      </c>
      <c r="U698" s="245">
        <v>-33</v>
      </c>
      <c r="V698" s="245">
        <v>-30</v>
      </c>
      <c r="W698" s="245">
        <v>-30</v>
      </c>
      <c r="X698" s="245">
        <v>-28</v>
      </c>
      <c r="Y698" s="245">
        <v>-21</v>
      </c>
      <c r="Z698" s="245">
        <v>-38</v>
      </c>
      <c r="AA698" s="245">
        <v>8.8000000000000007</v>
      </c>
      <c r="AB698" s="245">
        <v>175</v>
      </c>
      <c r="AC698" s="245">
        <v>-9.9</v>
      </c>
      <c r="AD698" s="245">
        <v>254</v>
      </c>
      <c r="AE698" s="245">
        <v>-5.6</v>
      </c>
      <c r="AF698" s="245">
        <v>275</v>
      </c>
      <c r="AG698" s="245">
        <v>-4.4000000000000004</v>
      </c>
      <c r="AH698" s="245">
        <v>77</v>
      </c>
      <c r="AI698" s="245">
        <v>72</v>
      </c>
      <c r="AJ698" s="245">
        <v>178</v>
      </c>
      <c r="AK698" s="245" t="s">
        <v>950</v>
      </c>
      <c r="AL698" s="245" t="s">
        <v>931</v>
      </c>
      <c r="AM698" s="246">
        <v>4.2</v>
      </c>
      <c r="AN698" s="235">
        <v>54</v>
      </c>
      <c r="AO698" s="247" t="s">
        <v>1092</v>
      </c>
      <c r="AP698" s="247">
        <v>950</v>
      </c>
      <c r="AQ698" s="247">
        <v>16.899999999999999</v>
      </c>
      <c r="AR698" s="247">
        <v>21.3</v>
      </c>
      <c r="AS698" s="247">
        <v>19.3</v>
      </c>
      <c r="AT698" s="247">
        <v>33</v>
      </c>
      <c r="AU698" s="247">
        <v>9</v>
      </c>
      <c r="AV698" s="247">
        <v>80</v>
      </c>
      <c r="AW698" s="247">
        <v>75</v>
      </c>
      <c r="AX698" s="247">
        <v>479</v>
      </c>
      <c r="AY698" s="247">
        <v>127</v>
      </c>
      <c r="AZ698" s="247" t="s">
        <v>952</v>
      </c>
      <c r="BA698" s="248" t="s">
        <v>934</v>
      </c>
      <c r="BB698" s="235">
        <v>40</v>
      </c>
      <c r="BC698" s="247" t="s">
        <v>1090</v>
      </c>
      <c r="BD698" s="247">
        <v>1.5</v>
      </c>
      <c r="BE698" s="247">
        <v>1.4</v>
      </c>
      <c r="BF698" s="247">
        <v>2.2999999999999998</v>
      </c>
      <c r="BG698" s="247">
        <v>4.0999999999999996</v>
      </c>
      <c r="BH698" s="247">
        <v>6.2</v>
      </c>
      <c r="BI698" s="247">
        <v>10.1</v>
      </c>
      <c r="BJ698" s="247">
        <v>13.7</v>
      </c>
      <c r="BK698" s="247">
        <v>13.4</v>
      </c>
      <c r="BL698" s="247">
        <v>8.9</v>
      </c>
      <c r="BM698" s="247">
        <v>5.2</v>
      </c>
      <c r="BN698" s="247">
        <v>2.8</v>
      </c>
      <c r="BO698" s="247">
        <v>2.1</v>
      </c>
      <c r="BP698" s="248">
        <v>6</v>
      </c>
    </row>
    <row r="699" spans="1:68" ht="14.25" customHeight="1">
      <c r="A699" s="233">
        <v>42</v>
      </c>
      <c r="B699" s="234">
        <v>56</v>
      </c>
      <c r="C699" s="244" t="s">
        <v>928</v>
      </c>
      <c r="D699" s="244" t="s">
        <v>1089</v>
      </c>
      <c r="E699" s="244" t="s">
        <v>1093</v>
      </c>
      <c r="F699" s="245">
        <v>-29.4</v>
      </c>
      <c r="G699" s="245">
        <v>-25.2</v>
      </c>
      <c r="H699" s="245">
        <v>-15.4</v>
      </c>
      <c r="I699" s="245">
        <v>-3.5</v>
      </c>
      <c r="J699" s="245">
        <v>5.2</v>
      </c>
      <c r="K699" s="245">
        <v>12.5</v>
      </c>
      <c r="L699" s="245">
        <v>15.3</v>
      </c>
      <c r="M699" s="245">
        <v>12.2</v>
      </c>
      <c r="N699" s="245">
        <v>5.0999999999999996</v>
      </c>
      <c r="O699" s="245">
        <v>-5</v>
      </c>
      <c r="P699" s="245">
        <v>-19</v>
      </c>
      <c r="Q699" s="245">
        <v>-28</v>
      </c>
      <c r="R699" s="246">
        <v>-6.3</v>
      </c>
      <c r="S699" s="233">
        <v>56</v>
      </c>
      <c r="T699" s="247" t="s">
        <v>1094</v>
      </c>
      <c r="U699" s="245">
        <v>-46</v>
      </c>
      <c r="V699" s="245">
        <v>-44</v>
      </c>
      <c r="W699" s="245">
        <v>-44</v>
      </c>
      <c r="X699" s="245">
        <v>-42</v>
      </c>
      <c r="Y699" s="245">
        <v>-34</v>
      </c>
      <c r="Z699" s="245">
        <v>-51</v>
      </c>
      <c r="AA699" s="245">
        <v>16.3</v>
      </c>
      <c r="AB699" s="245">
        <v>209</v>
      </c>
      <c r="AC699" s="245">
        <v>-17.8</v>
      </c>
      <c r="AD699" s="245">
        <v>267</v>
      </c>
      <c r="AE699" s="245">
        <v>-13</v>
      </c>
      <c r="AF699" s="245">
        <v>284</v>
      </c>
      <c r="AG699" s="245">
        <v>-11.7</v>
      </c>
      <c r="AH699" s="245">
        <v>76</v>
      </c>
      <c r="AI699" s="245">
        <v>69</v>
      </c>
      <c r="AJ699" s="245">
        <v>18</v>
      </c>
      <c r="AK699" s="245" t="s">
        <v>944</v>
      </c>
      <c r="AL699" s="245" t="s">
        <v>931</v>
      </c>
      <c r="AM699" s="246">
        <v>1.4</v>
      </c>
      <c r="AN699" s="235">
        <v>56</v>
      </c>
      <c r="AO699" s="247" t="s">
        <v>1095</v>
      </c>
      <c r="AP699" s="247">
        <v>910</v>
      </c>
      <c r="AQ699" s="247">
        <v>20.9</v>
      </c>
      <c r="AR699" s="247">
        <v>25.1</v>
      </c>
      <c r="AS699" s="247">
        <v>23.3</v>
      </c>
      <c r="AT699" s="247">
        <v>35</v>
      </c>
      <c r="AU699" s="247">
        <v>15.6</v>
      </c>
      <c r="AV699" s="247">
        <v>74</v>
      </c>
      <c r="AW699" s="247">
        <v>54</v>
      </c>
      <c r="AX699" s="247">
        <v>343</v>
      </c>
      <c r="AY699" s="247">
        <v>65</v>
      </c>
      <c r="AZ699" s="247" t="s">
        <v>1005</v>
      </c>
      <c r="BA699" s="248" t="s">
        <v>934</v>
      </c>
      <c r="BB699" s="235">
        <v>42</v>
      </c>
      <c r="BC699" s="247" t="s">
        <v>1093</v>
      </c>
      <c r="BD699" s="247">
        <v>0.5</v>
      </c>
      <c r="BE699" s="247">
        <v>0.7</v>
      </c>
      <c r="BF699" s="247">
        <v>1.3</v>
      </c>
      <c r="BG699" s="247">
        <v>2.7</v>
      </c>
      <c r="BH699" s="247">
        <v>4.5</v>
      </c>
      <c r="BI699" s="247">
        <v>8.6999999999999993</v>
      </c>
      <c r="BJ699" s="247">
        <v>12.5</v>
      </c>
      <c r="BK699" s="247">
        <v>10.7</v>
      </c>
      <c r="BL699" s="247">
        <v>6</v>
      </c>
      <c r="BM699" s="247">
        <v>2.9</v>
      </c>
      <c r="BN699" s="247">
        <v>1.1000000000000001</v>
      </c>
      <c r="BO699" s="247">
        <v>0.6</v>
      </c>
      <c r="BP699" s="248">
        <v>4.4000000000000004</v>
      </c>
    </row>
    <row r="700" spans="1:68" ht="14.25" customHeight="1">
      <c r="A700" s="233">
        <v>43</v>
      </c>
      <c r="B700" s="234">
        <v>346</v>
      </c>
      <c r="C700" s="244" t="s">
        <v>928</v>
      </c>
      <c r="D700" s="244" t="s">
        <v>1081</v>
      </c>
      <c r="E700" s="244" t="s">
        <v>1096</v>
      </c>
      <c r="F700" s="245">
        <v>-21.7</v>
      </c>
      <c r="G700" s="245">
        <v>-20.2</v>
      </c>
      <c r="H700" s="245">
        <v>-14.5</v>
      </c>
      <c r="I700" s="245">
        <v>-5.2</v>
      </c>
      <c r="J700" s="245">
        <v>0.9</v>
      </c>
      <c r="K700" s="245">
        <v>9.1</v>
      </c>
      <c r="L700" s="245">
        <v>14.5</v>
      </c>
      <c r="M700" s="245">
        <v>15.5</v>
      </c>
      <c r="N700" s="245">
        <v>12</v>
      </c>
      <c r="O700" s="245">
        <v>3.4</v>
      </c>
      <c r="P700" s="245">
        <v>-7.1</v>
      </c>
      <c r="Q700" s="245">
        <v>-16.600000000000001</v>
      </c>
      <c r="R700" s="246">
        <v>-2.5</v>
      </c>
      <c r="S700" s="233">
        <v>346</v>
      </c>
      <c r="T700" s="247" t="s">
        <v>1097</v>
      </c>
      <c r="U700" s="245">
        <v>-37</v>
      </c>
      <c r="V700" s="245">
        <v>-35</v>
      </c>
      <c r="W700" s="245">
        <v>-34</v>
      </c>
      <c r="X700" s="245">
        <v>-31</v>
      </c>
      <c r="Y700" s="245">
        <v>-27</v>
      </c>
      <c r="Z700" s="245">
        <v>-44</v>
      </c>
      <c r="AA700" s="245">
        <v>7.6</v>
      </c>
      <c r="AB700" s="245">
        <v>198</v>
      </c>
      <c r="AC700" s="245">
        <v>-12.8</v>
      </c>
      <c r="AD700" s="245">
        <v>255</v>
      </c>
      <c r="AE700" s="245">
        <v>-9</v>
      </c>
      <c r="AF700" s="245">
        <v>271</v>
      </c>
      <c r="AG700" s="245">
        <v>-7.9</v>
      </c>
      <c r="AH700" s="245">
        <v>81</v>
      </c>
      <c r="AI700" s="245">
        <v>80</v>
      </c>
      <c r="AJ700" s="245" t="s">
        <v>1018</v>
      </c>
      <c r="AK700" s="245" t="s">
        <v>944</v>
      </c>
      <c r="AL700" s="245" t="s">
        <v>931</v>
      </c>
      <c r="AM700" s="246">
        <v>5.9</v>
      </c>
      <c r="AN700" s="235">
        <v>346</v>
      </c>
      <c r="AO700" s="247" t="s">
        <v>1098</v>
      </c>
      <c r="AP700" s="247">
        <v>1010</v>
      </c>
      <c r="AQ700" s="247">
        <v>16.3</v>
      </c>
      <c r="AR700" s="247">
        <v>20.8</v>
      </c>
      <c r="AS700" s="247">
        <v>18.7</v>
      </c>
      <c r="AT700" s="247">
        <v>29</v>
      </c>
      <c r="AU700" s="247">
        <v>6.2</v>
      </c>
      <c r="AV700" s="247">
        <v>87</v>
      </c>
      <c r="AW700" s="247">
        <v>82</v>
      </c>
      <c r="AX700" s="247">
        <v>480</v>
      </c>
      <c r="AY700" s="247" t="s">
        <v>965</v>
      </c>
      <c r="AZ700" s="247" t="s">
        <v>973</v>
      </c>
      <c r="BA700" s="248" t="s">
        <v>934</v>
      </c>
      <c r="BB700" s="235">
        <v>311</v>
      </c>
      <c r="BC700" s="247" t="s">
        <v>1096</v>
      </c>
      <c r="BD700" s="247">
        <v>1.1000000000000001</v>
      </c>
      <c r="BE700" s="247">
        <v>1.1000000000000001</v>
      </c>
      <c r="BF700" s="247">
        <v>1.8</v>
      </c>
      <c r="BG700" s="247">
        <v>3.8</v>
      </c>
      <c r="BH700" s="247">
        <v>6</v>
      </c>
      <c r="BI700" s="247">
        <v>10.4</v>
      </c>
      <c r="BJ700" s="247">
        <v>14.7</v>
      </c>
      <c r="BK700" s="247">
        <v>15.7</v>
      </c>
      <c r="BL700" s="247">
        <v>11.8</v>
      </c>
      <c r="BM700" s="247">
        <v>6.5</v>
      </c>
      <c r="BN700" s="247">
        <v>3</v>
      </c>
      <c r="BO700" s="247">
        <v>1.6</v>
      </c>
      <c r="BP700" s="248">
        <v>6.5</v>
      </c>
    </row>
    <row r="701" spans="1:68" ht="14.25" customHeight="1">
      <c r="A701" s="233">
        <v>44</v>
      </c>
      <c r="B701" s="234">
        <v>171</v>
      </c>
      <c r="C701" s="244" t="s">
        <v>928</v>
      </c>
      <c r="D701" s="244" t="s">
        <v>935</v>
      </c>
      <c r="E701" s="244" t="s">
        <v>1099</v>
      </c>
      <c r="F701" s="245">
        <v>-30.9</v>
      </c>
      <c r="G701" s="245">
        <v>-27</v>
      </c>
      <c r="H701" s="245">
        <v>-15.4</v>
      </c>
      <c r="I701" s="245">
        <v>-3.9</v>
      </c>
      <c r="J701" s="245">
        <v>4.0999999999999996</v>
      </c>
      <c r="K701" s="245">
        <v>12.9</v>
      </c>
      <c r="L701" s="245">
        <v>16.8</v>
      </c>
      <c r="M701" s="245">
        <v>12.5</v>
      </c>
      <c r="N701" s="245">
        <v>5.4</v>
      </c>
      <c r="O701" s="245">
        <v>-5</v>
      </c>
      <c r="P701" s="245">
        <v>-21.2</v>
      </c>
      <c r="Q701" s="245">
        <v>-29.8</v>
      </c>
      <c r="R701" s="246">
        <v>-6.8</v>
      </c>
      <c r="S701" s="233">
        <v>171</v>
      </c>
      <c r="T701" s="247" t="s">
        <v>1100</v>
      </c>
      <c r="U701" s="245">
        <v>-55</v>
      </c>
      <c r="V701" s="245">
        <v>-53</v>
      </c>
      <c r="W701" s="245">
        <v>-52</v>
      </c>
      <c r="X701" s="245">
        <v>-50</v>
      </c>
      <c r="Y701" s="245">
        <v>-36</v>
      </c>
      <c r="Z701" s="245">
        <v>-57</v>
      </c>
      <c r="AA701" s="245">
        <v>10.9</v>
      </c>
      <c r="AB701" s="245">
        <v>211</v>
      </c>
      <c r="AC701" s="245">
        <v>-18.7</v>
      </c>
      <c r="AD701" s="245">
        <v>267</v>
      </c>
      <c r="AE701" s="245">
        <v>-13.9</v>
      </c>
      <c r="AF701" s="245">
        <v>283</v>
      </c>
      <c r="AG701" s="245">
        <v>-12.7</v>
      </c>
      <c r="AH701" s="245">
        <v>79</v>
      </c>
      <c r="AI701" s="245">
        <v>76</v>
      </c>
      <c r="AJ701" s="245">
        <v>143</v>
      </c>
      <c r="AK701" s="245" t="s">
        <v>971</v>
      </c>
      <c r="AL701" s="245">
        <v>1.9</v>
      </c>
      <c r="AM701" s="246">
        <v>1.1000000000000001</v>
      </c>
      <c r="AN701" s="235">
        <v>171</v>
      </c>
      <c r="AO701" s="247" t="s">
        <v>1101</v>
      </c>
      <c r="AP701" s="247">
        <v>980</v>
      </c>
      <c r="AQ701" s="247">
        <v>20.6</v>
      </c>
      <c r="AR701" s="247">
        <v>25.2</v>
      </c>
      <c r="AS701" s="247">
        <v>24.5</v>
      </c>
      <c r="AT701" s="247">
        <v>39</v>
      </c>
      <c r="AU701" s="247">
        <v>15.1</v>
      </c>
      <c r="AV701" s="247">
        <v>71</v>
      </c>
      <c r="AW701" s="247">
        <v>52</v>
      </c>
      <c r="AX701" s="247">
        <v>355</v>
      </c>
      <c r="AY701" s="247">
        <v>49</v>
      </c>
      <c r="AZ701" s="247" t="s">
        <v>1005</v>
      </c>
      <c r="BA701" s="248">
        <v>0</v>
      </c>
      <c r="BB701" s="235">
        <v>150</v>
      </c>
      <c r="BC701" s="247" t="s">
        <v>1099</v>
      </c>
      <c r="BD701" s="247">
        <v>0.5</v>
      </c>
      <c r="BE701" s="247">
        <v>0.7</v>
      </c>
      <c r="BF701" s="247">
        <v>1.6</v>
      </c>
      <c r="BG701" s="247">
        <v>3</v>
      </c>
      <c r="BH701" s="247">
        <v>5.0999999999999996</v>
      </c>
      <c r="BI701" s="247">
        <v>9.4</v>
      </c>
      <c r="BJ701" s="247">
        <v>12.9</v>
      </c>
      <c r="BK701" s="247">
        <v>11.3</v>
      </c>
      <c r="BL701" s="247">
        <v>7.4</v>
      </c>
      <c r="BM701" s="247">
        <v>3.9</v>
      </c>
      <c r="BN701" s="247">
        <v>1.4</v>
      </c>
      <c r="BO701" s="247">
        <v>0.7</v>
      </c>
      <c r="BP701" s="248">
        <v>4.8</v>
      </c>
    </row>
    <row r="702" spans="1:68" ht="14.25" customHeight="1">
      <c r="A702" s="233">
        <v>45</v>
      </c>
      <c r="B702" s="234">
        <v>561</v>
      </c>
      <c r="C702" s="249" t="s">
        <v>1074</v>
      </c>
      <c r="D702" s="249" t="s">
        <v>1102</v>
      </c>
      <c r="E702" s="244" t="s">
        <v>1103</v>
      </c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6"/>
      <c r="S702" s="250">
        <v>561</v>
      </c>
      <c r="T702" s="247" t="s">
        <v>1103</v>
      </c>
      <c r="U702" s="245">
        <v>-18</v>
      </c>
      <c r="V702" s="245">
        <v>-16</v>
      </c>
      <c r="W702" s="245">
        <v>-15</v>
      </c>
      <c r="X702" s="245">
        <v>-12</v>
      </c>
      <c r="Y702" s="245">
        <v>-5</v>
      </c>
      <c r="Z702" s="245">
        <v>-26</v>
      </c>
      <c r="AA702" s="245">
        <v>10.1</v>
      </c>
      <c r="AB702" s="245">
        <v>0</v>
      </c>
      <c r="AC702" s="245" t="s">
        <v>830</v>
      </c>
      <c r="AD702" s="245">
        <v>103</v>
      </c>
      <c r="AE702" s="245">
        <v>4</v>
      </c>
      <c r="AF702" s="245">
        <v>121</v>
      </c>
      <c r="AG702" s="245">
        <v>5</v>
      </c>
      <c r="AH702" s="245" t="s">
        <v>956</v>
      </c>
      <c r="AI702" s="245">
        <v>55</v>
      </c>
      <c r="AJ702" s="245">
        <v>146</v>
      </c>
      <c r="AK702" s="245" t="s">
        <v>982</v>
      </c>
      <c r="AL702" s="245">
        <v>4.0999999999999996</v>
      </c>
      <c r="AM702" s="246" t="s">
        <v>931</v>
      </c>
      <c r="AN702" s="235">
        <v>562</v>
      </c>
      <c r="AO702" s="247" t="s">
        <v>1104</v>
      </c>
      <c r="AP702" s="247">
        <v>985</v>
      </c>
      <c r="AQ702" s="247">
        <v>40</v>
      </c>
      <c r="AR702" s="247">
        <v>35</v>
      </c>
      <c r="AS702" s="247">
        <v>38.5</v>
      </c>
      <c r="AT702" s="247">
        <v>48</v>
      </c>
      <c r="AU702" s="247">
        <v>15.8</v>
      </c>
      <c r="AV702" s="247">
        <v>27</v>
      </c>
      <c r="AW702" s="247">
        <v>18</v>
      </c>
      <c r="AX702" s="247">
        <v>55</v>
      </c>
      <c r="AY702" s="247">
        <v>51</v>
      </c>
      <c r="AZ702" s="247" t="s">
        <v>1005</v>
      </c>
      <c r="BA702" s="248">
        <v>2.1</v>
      </c>
      <c r="BB702" s="235"/>
      <c r="BC702" s="247" t="s">
        <v>1103</v>
      </c>
      <c r="BD702" s="247"/>
      <c r="BE702" s="247"/>
      <c r="BF702" s="247"/>
      <c r="BG702" s="247"/>
      <c r="BH702" s="247"/>
      <c r="BI702" s="247"/>
      <c r="BJ702" s="247"/>
      <c r="BK702" s="247"/>
      <c r="BL702" s="247"/>
      <c r="BM702" s="247"/>
      <c r="BN702" s="247"/>
      <c r="BO702" s="247"/>
      <c r="BP702" s="248"/>
    </row>
    <row r="703" spans="1:68" ht="14.25" customHeight="1">
      <c r="A703" s="233">
        <v>46</v>
      </c>
      <c r="B703" s="234">
        <v>503</v>
      </c>
      <c r="C703" s="244" t="s">
        <v>960</v>
      </c>
      <c r="D703" s="244" t="s">
        <v>998</v>
      </c>
      <c r="E703" s="244" t="s">
        <v>1105</v>
      </c>
      <c r="F703" s="245">
        <v>-11.4</v>
      </c>
      <c r="G703" s="245">
        <v>-9.6</v>
      </c>
      <c r="H703" s="245">
        <v>0.1</v>
      </c>
      <c r="I703" s="245">
        <v>11</v>
      </c>
      <c r="J703" s="245">
        <v>17.8</v>
      </c>
      <c r="K703" s="245">
        <v>23.3</v>
      </c>
      <c r="L703" s="245">
        <v>25.8</v>
      </c>
      <c r="M703" s="245">
        <v>23.3</v>
      </c>
      <c r="N703" s="245">
        <v>16.8</v>
      </c>
      <c r="O703" s="245">
        <v>8.4</v>
      </c>
      <c r="P703" s="245">
        <v>-1</v>
      </c>
      <c r="Q703" s="245">
        <v>-8</v>
      </c>
      <c r="R703" s="246">
        <v>8</v>
      </c>
      <c r="S703" s="233">
        <v>503</v>
      </c>
      <c r="T703" s="247" t="s">
        <v>1105</v>
      </c>
      <c r="U703" s="245">
        <v>-41</v>
      </c>
      <c r="V703" s="245">
        <v>-40</v>
      </c>
      <c r="W703" s="245">
        <v>-39</v>
      </c>
      <c r="X703" s="245">
        <v>-35</v>
      </c>
      <c r="Y703" s="245" t="s">
        <v>956</v>
      </c>
      <c r="Z703" s="245">
        <v>-43</v>
      </c>
      <c r="AA703" s="245">
        <v>12.1</v>
      </c>
      <c r="AB703" s="245">
        <v>125</v>
      </c>
      <c r="AC703" s="245">
        <v>-7.6</v>
      </c>
      <c r="AD703" s="245">
        <v>172</v>
      </c>
      <c r="AE703" s="245">
        <v>-4.5</v>
      </c>
      <c r="AF703" s="245">
        <v>185</v>
      </c>
      <c r="AG703" s="245">
        <v>-3.5</v>
      </c>
      <c r="AH703" s="245">
        <v>79</v>
      </c>
      <c r="AI703" s="245" t="s">
        <v>956</v>
      </c>
      <c r="AJ703" s="245">
        <v>75</v>
      </c>
      <c r="AK703" s="245" t="s">
        <v>938</v>
      </c>
      <c r="AL703" s="245">
        <v>2.5</v>
      </c>
      <c r="AM703" s="246">
        <v>2.1</v>
      </c>
      <c r="AN703" s="235">
        <v>503</v>
      </c>
      <c r="AO703" s="247" t="s">
        <v>1106</v>
      </c>
      <c r="AP703" s="247" t="s">
        <v>965</v>
      </c>
      <c r="AQ703" s="247" t="s">
        <v>958</v>
      </c>
      <c r="AR703" s="247" t="s">
        <v>931</v>
      </c>
      <c r="AS703" s="247">
        <v>33.4</v>
      </c>
      <c r="AT703" s="247">
        <v>44</v>
      </c>
      <c r="AU703" s="247">
        <v>16.100000000000001</v>
      </c>
      <c r="AV703" s="247">
        <v>39</v>
      </c>
      <c r="AW703" s="247" t="s">
        <v>931</v>
      </c>
      <c r="AX703" s="247" t="s">
        <v>931</v>
      </c>
      <c r="AY703" s="247" t="s">
        <v>965</v>
      </c>
      <c r="AZ703" s="247" t="s">
        <v>940</v>
      </c>
      <c r="BA703" s="248">
        <v>2.8</v>
      </c>
      <c r="BB703" s="235"/>
      <c r="BC703" s="247" t="s">
        <v>1105</v>
      </c>
      <c r="BD703" s="247"/>
      <c r="BE703" s="247"/>
      <c r="BF703" s="247"/>
      <c r="BG703" s="247"/>
      <c r="BH703" s="247"/>
      <c r="BI703" s="247"/>
      <c r="BJ703" s="247"/>
      <c r="BK703" s="247"/>
      <c r="BL703" s="247"/>
      <c r="BM703" s="247"/>
      <c r="BN703" s="247"/>
      <c r="BO703" s="247"/>
      <c r="BP703" s="248"/>
    </row>
    <row r="704" spans="1:68" ht="14.25" customHeight="1">
      <c r="A704" s="233">
        <v>47</v>
      </c>
      <c r="B704" s="234">
        <v>458</v>
      </c>
      <c r="C704" s="244" t="s">
        <v>1107</v>
      </c>
      <c r="D704" s="244" t="s">
        <v>1107</v>
      </c>
      <c r="E704" s="244" t="s">
        <v>1108</v>
      </c>
      <c r="F704" s="245">
        <v>3.9</v>
      </c>
      <c r="G704" s="245">
        <v>4.0999999999999996</v>
      </c>
      <c r="H704" s="245">
        <v>6.3</v>
      </c>
      <c r="I704" s="245">
        <v>11.2</v>
      </c>
      <c r="J704" s="245">
        <v>17.7</v>
      </c>
      <c r="K704" s="245">
        <v>22.6</v>
      </c>
      <c r="L704" s="245">
        <v>25.7</v>
      </c>
      <c r="M704" s="245" t="s">
        <v>1109</v>
      </c>
      <c r="N704" s="245">
        <v>21.8</v>
      </c>
      <c r="O704" s="245">
        <v>16.600000000000001</v>
      </c>
      <c r="P704" s="245" t="s">
        <v>1110</v>
      </c>
      <c r="Q704" s="245">
        <v>6.8</v>
      </c>
      <c r="R704" s="246">
        <v>14.5</v>
      </c>
      <c r="S704" s="233">
        <v>458</v>
      </c>
      <c r="T704" s="247" t="s">
        <v>1111</v>
      </c>
      <c r="U704" s="245">
        <v>-8</v>
      </c>
      <c r="V704" s="245">
        <v>-6</v>
      </c>
      <c r="W704" s="245">
        <v>-5</v>
      </c>
      <c r="X704" s="245">
        <v>-4</v>
      </c>
      <c r="Y704" s="245">
        <v>2</v>
      </c>
      <c r="Z704" s="245">
        <v>-13</v>
      </c>
      <c r="AA704" s="245">
        <v>4.8</v>
      </c>
      <c r="AB704" s="245">
        <v>0</v>
      </c>
      <c r="AC704" s="245" t="s">
        <v>830</v>
      </c>
      <c r="AD704" s="245">
        <v>112</v>
      </c>
      <c r="AE704" s="245">
        <v>5.0999999999999996</v>
      </c>
      <c r="AF704" s="245">
        <v>137</v>
      </c>
      <c r="AG704" s="245">
        <v>5.8</v>
      </c>
      <c r="AH704" s="245" t="s">
        <v>956</v>
      </c>
      <c r="AI704" s="245">
        <v>72</v>
      </c>
      <c r="AJ704" s="245">
        <v>125</v>
      </c>
      <c r="AK704" s="245" t="s">
        <v>996</v>
      </c>
      <c r="AL704" s="245" t="s">
        <v>931</v>
      </c>
      <c r="AM704" s="246">
        <v>9.5</v>
      </c>
      <c r="AN704" s="235">
        <v>458</v>
      </c>
      <c r="AO704" s="247" t="s">
        <v>1112</v>
      </c>
      <c r="AP704" s="247">
        <v>1015</v>
      </c>
      <c r="AQ704" s="247">
        <v>28</v>
      </c>
      <c r="AR704" s="247">
        <v>32</v>
      </c>
      <c r="AS704" s="247">
        <v>33</v>
      </c>
      <c r="AT704" s="247">
        <v>40</v>
      </c>
      <c r="AU704" s="247">
        <v>12.2</v>
      </c>
      <c r="AV704" s="247">
        <v>58</v>
      </c>
      <c r="AW704" s="247">
        <v>54</v>
      </c>
      <c r="AX704" s="247">
        <v>97</v>
      </c>
      <c r="AY704" s="247">
        <v>73</v>
      </c>
      <c r="AZ704" s="247" t="s">
        <v>1005</v>
      </c>
      <c r="BA704" s="248">
        <v>4.9000000000000004</v>
      </c>
      <c r="BB704" s="235"/>
      <c r="BC704" s="247" t="s">
        <v>1111</v>
      </c>
      <c r="BD704" s="247"/>
      <c r="BE704" s="247"/>
      <c r="BF704" s="247"/>
      <c r="BG704" s="247"/>
      <c r="BH704" s="247"/>
      <c r="BI704" s="247"/>
      <c r="BJ704" s="247"/>
      <c r="BK704" s="247"/>
      <c r="BL704" s="247"/>
      <c r="BM704" s="247"/>
      <c r="BN704" s="247"/>
      <c r="BO704" s="247"/>
      <c r="BP704" s="248"/>
    </row>
    <row r="705" spans="1:68" ht="14.25" customHeight="1">
      <c r="A705" s="233">
        <v>48</v>
      </c>
      <c r="B705" s="234">
        <v>285</v>
      </c>
      <c r="C705" s="244" t="s">
        <v>928</v>
      </c>
      <c r="D705" s="244" t="s">
        <v>979</v>
      </c>
      <c r="E705" s="244" t="s">
        <v>1113</v>
      </c>
      <c r="F705" s="245">
        <v>-10.6</v>
      </c>
      <c r="G705" s="245">
        <v>-10.4</v>
      </c>
      <c r="H705" s="245">
        <v>-4.5999999999999996</v>
      </c>
      <c r="I705" s="245">
        <v>6.3</v>
      </c>
      <c r="J705" s="245">
        <v>14.5</v>
      </c>
      <c r="K705" s="245">
        <v>18.600000000000001</v>
      </c>
      <c r="L705" s="245">
        <v>20.6</v>
      </c>
      <c r="M705" s="245">
        <v>19.2</v>
      </c>
      <c r="N705" s="245">
        <v>12.9</v>
      </c>
      <c r="O705" s="245">
        <v>5.2</v>
      </c>
      <c r="P705" s="245">
        <v>-1.5</v>
      </c>
      <c r="Q705" s="245">
        <v>-7.6</v>
      </c>
      <c r="R705" s="246">
        <v>5.2</v>
      </c>
      <c r="S705" s="233">
        <v>285</v>
      </c>
      <c r="T705" s="247" t="s">
        <v>1114</v>
      </c>
      <c r="U705" s="245">
        <v>-34</v>
      </c>
      <c r="V705" s="245">
        <v>-33</v>
      </c>
      <c r="W705" s="245">
        <v>-32</v>
      </c>
      <c r="X705" s="245">
        <v>-29</v>
      </c>
      <c r="Y705" s="245">
        <v>-16</v>
      </c>
      <c r="Z705" s="245">
        <v>-38</v>
      </c>
      <c r="AA705" s="245">
        <v>6.5</v>
      </c>
      <c r="AB705" s="245">
        <v>142</v>
      </c>
      <c r="AC705" s="245">
        <v>-7.4</v>
      </c>
      <c r="AD705" s="245">
        <v>199</v>
      </c>
      <c r="AE705" s="245">
        <v>-4.2</v>
      </c>
      <c r="AF705" s="245">
        <v>213</v>
      </c>
      <c r="AG705" s="245">
        <v>-3.2</v>
      </c>
      <c r="AH705" s="245">
        <v>84</v>
      </c>
      <c r="AI705" s="245">
        <v>82</v>
      </c>
      <c r="AJ705" s="245">
        <v>171</v>
      </c>
      <c r="AK705" s="245" t="s">
        <v>990</v>
      </c>
      <c r="AL705" s="245">
        <v>7.3</v>
      </c>
      <c r="AM705" s="246">
        <v>5.0999999999999996</v>
      </c>
      <c r="AN705" s="235">
        <v>279</v>
      </c>
      <c r="AO705" s="247" t="s">
        <v>1115</v>
      </c>
      <c r="AP705" s="247">
        <v>1000</v>
      </c>
      <c r="AQ705" s="247">
        <v>25</v>
      </c>
      <c r="AR705" s="247">
        <v>29</v>
      </c>
      <c r="AS705" s="247">
        <v>26.7</v>
      </c>
      <c r="AT705" s="247">
        <v>40</v>
      </c>
      <c r="AU705" s="247">
        <v>12</v>
      </c>
      <c r="AV705" s="247">
        <v>63</v>
      </c>
      <c r="AW705" s="247">
        <v>44</v>
      </c>
      <c r="AX705" s="247">
        <v>310</v>
      </c>
      <c r="AY705" s="247">
        <v>63</v>
      </c>
      <c r="AZ705" s="247" t="s">
        <v>959</v>
      </c>
      <c r="BA705" s="248">
        <v>3.7</v>
      </c>
      <c r="BB705" s="235">
        <v>250</v>
      </c>
      <c r="BC705" s="247" t="s">
        <v>1113</v>
      </c>
      <c r="BD705" s="247">
        <v>2.7</v>
      </c>
      <c r="BE705" s="247">
        <v>2.8</v>
      </c>
      <c r="BF705" s="247">
        <v>4</v>
      </c>
      <c r="BG705" s="247">
        <v>6.8</v>
      </c>
      <c r="BH705" s="247">
        <v>9.1999999999999993</v>
      </c>
      <c r="BI705" s="247">
        <v>12.5</v>
      </c>
      <c r="BJ705" s="247">
        <v>14.6</v>
      </c>
      <c r="BK705" s="247">
        <v>13.3</v>
      </c>
      <c r="BL705" s="247">
        <v>9.8000000000000007</v>
      </c>
      <c r="BM705" s="247">
        <v>6.9</v>
      </c>
      <c r="BN705" s="247">
        <v>5.0999999999999996</v>
      </c>
      <c r="BO705" s="247">
        <v>3.6</v>
      </c>
      <c r="BP705" s="248">
        <v>7.6</v>
      </c>
    </row>
    <row r="706" spans="1:68" ht="14.25" customHeight="1">
      <c r="A706" s="233">
        <v>49</v>
      </c>
      <c r="B706" s="234">
        <v>514</v>
      </c>
      <c r="C706" s="244" t="s">
        <v>960</v>
      </c>
      <c r="D706" s="244" t="s">
        <v>1116</v>
      </c>
      <c r="E706" s="244" t="s">
        <v>1117</v>
      </c>
      <c r="F706" s="245">
        <v>-14.4</v>
      </c>
      <c r="G706" s="245">
        <v>-13.7</v>
      </c>
      <c r="H706" s="245">
        <v>-4.9000000000000004</v>
      </c>
      <c r="I706" s="245">
        <v>7.7</v>
      </c>
      <c r="J706" s="245">
        <v>16</v>
      </c>
      <c r="K706" s="245">
        <v>21.9</v>
      </c>
      <c r="L706" s="245">
        <v>24.2</v>
      </c>
      <c r="M706" s="245">
        <v>21.8</v>
      </c>
      <c r="N706" s="245">
        <v>15.3</v>
      </c>
      <c r="O706" s="245">
        <v>6.5</v>
      </c>
      <c r="P706" s="245">
        <v>-3.4</v>
      </c>
      <c r="Q706" s="245">
        <v>-11.1</v>
      </c>
      <c r="R706" s="246">
        <v>5.5</v>
      </c>
      <c r="S706" s="233">
        <v>514</v>
      </c>
      <c r="T706" s="247" t="s">
        <v>1117</v>
      </c>
      <c r="U706" s="245">
        <v>-37</v>
      </c>
      <c r="V706" s="245">
        <v>-35</v>
      </c>
      <c r="W706" s="245">
        <v>-33</v>
      </c>
      <c r="X706" s="245">
        <v>-31</v>
      </c>
      <c r="Y706" s="245">
        <v>-20</v>
      </c>
      <c r="Z706" s="245" t="s">
        <v>931</v>
      </c>
      <c r="AA706" s="245">
        <v>9.1</v>
      </c>
      <c r="AB706" s="245">
        <v>144</v>
      </c>
      <c r="AC706" s="245">
        <v>-9.9</v>
      </c>
      <c r="AD706" s="245">
        <v>189</v>
      </c>
      <c r="AE706" s="245">
        <v>-6.5</v>
      </c>
      <c r="AF706" s="245">
        <v>203</v>
      </c>
      <c r="AG706" s="245">
        <v>-5.4</v>
      </c>
      <c r="AH706" s="245" t="s">
        <v>956</v>
      </c>
      <c r="AI706" s="245" t="s">
        <v>956</v>
      </c>
      <c r="AJ706" s="245">
        <v>61</v>
      </c>
      <c r="AK706" s="245" t="s">
        <v>938</v>
      </c>
      <c r="AL706" s="245">
        <v>5.0999999999999996</v>
      </c>
      <c r="AM706" s="246">
        <v>4.8</v>
      </c>
      <c r="AN706" s="235">
        <v>514</v>
      </c>
      <c r="AO706" s="247" t="s">
        <v>1118</v>
      </c>
      <c r="AP706" s="247">
        <v>980</v>
      </c>
      <c r="AQ706" s="247">
        <v>26.6</v>
      </c>
      <c r="AR706" s="247">
        <v>29.8</v>
      </c>
      <c r="AS706" s="247">
        <v>28.7</v>
      </c>
      <c r="AT706" s="247">
        <v>41</v>
      </c>
      <c r="AU706" s="247">
        <v>10.7</v>
      </c>
      <c r="AV706" s="247" t="s">
        <v>958</v>
      </c>
      <c r="AW706" s="247">
        <v>46</v>
      </c>
      <c r="AX706" s="247">
        <v>76</v>
      </c>
      <c r="AY706" s="247" t="s">
        <v>965</v>
      </c>
      <c r="AZ706" s="247" t="s">
        <v>940</v>
      </c>
      <c r="BA706" s="248">
        <v>4.4000000000000004</v>
      </c>
      <c r="BB706" s="235"/>
      <c r="BC706" s="247" t="s">
        <v>1117</v>
      </c>
      <c r="BD706" s="247"/>
      <c r="BE706" s="247"/>
      <c r="BF706" s="247"/>
      <c r="BG706" s="247"/>
      <c r="BH706" s="247"/>
      <c r="BI706" s="247"/>
      <c r="BJ706" s="247"/>
      <c r="BK706" s="247"/>
      <c r="BL706" s="247"/>
      <c r="BM706" s="247"/>
      <c r="BN706" s="247"/>
      <c r="BO706" s="247"/>
      <c r="BP706" s="248"/>
    </row>
    <row r="707" spans="1:68" ht="14.25" customHeight="1">
      <c r="A707" s="233">
        <v>50</v>
      </c>
      <c r="B707" s="234">
        <v>232</v>
      </c>
      <c r="C707" s="244" t="s">
        <v>928</v>
      </c>
      <c r="D707" s="244" t="s">
        <v>1119</v>
      </c>
      <c r="E707" s="244" t="s">
        <v>1120</v>
      </c>
      <c r="F707" s="245">
        <v>-19.899999999999999</v>
      </c>
      <c r="G707" s="245">
        <v>-18.3</v>
      </c>
      <c r="H707" s="245">
        <v>-11.8</v>
      </c>
      <c r="I707" s="245">
        <v>0.5</v>
      </c>
      <c r="J707" s="245">
        <v>10.1</v>
      </c>
      <c r="K707" s="245">
        <v>16.399999999999999</v>
      </c>
      <c r="L707" s="245">
        <v>18.5</v>
      </c>
      <c r="M707" s="245">
        <v>15.5</v>
      </c>
      <c r="N707" s="245">
        <v>9.8000000000000007</v>
      </c>
      <c r="O707" s="245">
        <v>1.1000000000000001</v>
      </c>
      <c r="P707" s="245">
        <v>-9.1999999999999993</v>
      </c>
      <c r="Q707" s="245">
        <v>-17</v>
      </c>
      <c r="R707" s="246">
        <v>-0.4</v>
      </c>
      <c r="S707" s="233">
        <v>232</v>
      </c>
      <c r="T707" s="247" t="s">
        <v>1121</v>
      </c>
      <c r="U707" s="245">
        <v>-44</v>
      </c>
      <c r="V707" s="245">
        <v>-42</v>
      </c>
      <c r="W707" s="245">
        <v>-42</v>
      </c>
      <c r="X707" s="245">
        <v>-39</v>
      </c>
      <c r="Y707" s="245">
        <v>-25</v>
      </c>
      <c r="Z707" s="245">
        <v>-48</v>
      </c>
      <c r="AA707" s="245">
        <v>9.1999999999999993</v>
      </c>
      <c r="AB707" s="245">
        <v>177</v>
      </c>
      <c r="AC707" s="245">
        <v>-12.9</v>
      </c>
      <c r="AD707" s="245">
        <v>230</v>
      </c>
      <c r="AE707" s="245">
        <v>-9</v>
      </c>
      <c r="AF707" s="245">
        <v>243</v>
      </c>
      <c r="AG707" s="245">
        <v>-8</v>
      </c>
      <c r="AH707" s="245">
        <v>82</v>
      </c>
      <c r="AI707" s="245">
        <v>81</v>
      </c>
      <c r="AJ707" s="245">
        <v>104</v>
      </c>
      <c r="AK707" s="245" t="s">
        <v>971</v>
      </c>
      <c r="AL707" s="245">
        <v>6.5</v>
      </c>
      <c r="AM707" s="246">
        <v>6.3</v>
      </c>
      <c r="AN707" s="235">
        <v>232</v>
      </c>
      <c r="AO707" s="247" t="s">
        <v>1122</v>
      </c>
      <c r="AP707" s="247">
        <v>995</v>
      </c>
      <c r="AQ707" s="247">
        <v>23.5</v>
      </c>
      <c r="AR707" s="247">
        <v>27.6</v>
      </c>
      <c r="AS707" s="247">
        <v>24.8</v>
      </c>
      <c r="AT707" s="247">
        <v>38</v>
      </c>
      <c r="AU707" s="247">
        <v>12.2</v>
      </c>
      <c r="AV707" s="247">
        <v>72</v>
      </c>
      <c r="AW707" s="247">
        <v>55</v>
      </c>
      <c r="AX707" s="247">
        <v>307</v>
      </c>
      <c r="AY707" s="247">
        <v>75</v>
      </c>
      <c r="AZ707" s="247" t="s">
        <v>959</v>
      </c>
      <c r="BA707" s="248">
        <v>3.9</v>
      </c>
      <c r="BB707" s="235">
        <v>204</v>
      </c>
      <c r="BC707" s="247" t="s">
        <v>1120</v>
      </c>
      <c r="BD707" s="247">
        <v>1.3</v>
      </c>
      <c r="BE707" s="247">
        <v>1.4</v>
      </c>
      <c r="BF707" s="247">
        <v>2.5</v>
      </c>
      <c r="BG707" s="247">
        <v>5.0999999999999996</v>
      </c>
      <c r="BH707" s="247">
        <v>7.5</v>
      </c>
      <c r="BI707" s="247">
        <v>12</v>
      </c>
      <c r="BJ707" s="247">
        <v>15.2</v>
      </c>
      <c r="BK707" s="247">
        <v>13.1</v>
      </c>
      <c r="BL707" s="247">
        <v>9</v>
      </c>
      <c r="BM707" s="247">
        <v>5.4</v>
      </c>
      <c r="BN707" s="247">
        <v>3</v>
      </c>
      <c r="BO707" s="247">
        <v>1.7</v>
      </c>
      <c r="BP707" s="248">
        <v>6.4</v>
      </c>
    </row>
    <row r="708" spans="1:68" ht="14.25" customHeight="1">
      <c r="A708" s="233">
        <v>51</v>
      </c>
      <c r="B708" s="234">
        <v>55</v>
      </c>
      <c r="C708" s="244" t="s">
        <v>928</v>
      </c>
      <c r="D708" s="244" t="s">
        <v>1089</v>
      </c>
      <c r="E708" s="244" t="s">
        <v>1123</v>
      </c>
      <c r="F708" s="245">
        <v>-27.4</v>
      </c>
      <c r="G708" s="245">
        <v>-23.7</v>
      </c>
      <c r="H708" s="245">
        <v>-12.1</v>
      </c>
      <c r="I708" s="245">
        <v>-0.3</v>
      </c>
      <c r="J708" s="245">
        <v>7.8</v>
      </c>
      <c r="K708" s="245">
        <v>15.1</v>
      </c>
      <c r="L708" s="245">
        <v>18.399999999999999</v>
      </c>
      <c r="M708" s="245">
        <v>15.9</v>
      </c>
      <c r="N708" s="245">
        <v>8.6</v>
      </c>
      <c r="O708" s="245">
        <v>-0.6</v>
      </c>
      <c r="P708" s="245">
        <v>-12.8</v>
      </c>
      <c r="Q708" s="245">
        <v>-23.2</v>
      </c>
      <c r="R708" s="246">
        <v>-2.9</v>
      </c>
      <c r="S708" s="233">
        <v>55</v>
      </c>
      <c r="T708" s="247" t="s">
        <v>1124</v>
      </c>
      <c r="U708" s="245">
        <v>-46</v>
      </c>
      <c r="V708" s="245">
        <v>-44</v>
      </c>
      <c r="W708" s="245">
        <v>-44</v>
      </c>
      <c r="X708" s="245">
        <v>-42</v>
      </c>
      <c r="Y708" s="245">
        <v>-32</v>
      </c>
      <c r="Z708" s="245">
        <v>-52</v>
      </c>
      <c r="AA708" s="245">
        <v>9.9</v>
      </c>
      <c r="AB708" s="245">
        <v>185</v>
      </c>
      <c r="AC708" s="245">
        <v>-16.3</v>
      </c>
      <c r="AD708" s="245">
        <v>241</v>
      </c>
      <c r="AE708" s="245">
        <v>-11.5</v>
      </c>
      <c r="AF708" s="245">
        <v>258</v>
      </c>
      <c r="AG708" s="245">
        <v>-10.199999999999999</v>
      </c>
      <c r="AH708" s="245">
        <v>76</v>
      </c>
      <c r="AI708" s="245">
        <v>76</v>
      </c>
      <c r="AJ708" s="245">
        <v>104</v>
      </c>
      <c r="AK708" s="245" t="s">
        <v>950</v>
      </c>
      <c r="AL708" s="245" t="s">
        <v>931</v>
      </c>
      <c r="AM708" s="246">
        <v>3</v>
      </c>
      <c r="AN708" s="235">
        <v>55</v>
      </c>
      <c r="AO708" s="247" t="s">
        <v>1125</v>
      </c>
      <c r="AP708" s="247">
        <v>950</v>
      </c>
      <c r="AQ708" s="247">
        <v>23.2</v>
      </c>
      <c r="AR708" s="247">
        <v>26.5</v>
      </c>
      <c r="AS708" s="247">
        <v>25</v>
      </c>
      <c r="AT708" s="247">
        <v>37</v>
      </c>
      <c r="AU708" s="247">
        <v>12.6</v>
      </c>
      <c r="AV708" s="247">
        <v>67</v>
      </c>
      <c r="AW708" s="247">
        <v>51</v>
      </c>
      <c r="AX708" s="247">
        <v>238</v>
      </c>
      <c r="AY708" s="247">
        <v>78</v>
      </c>
      <c r="AZ708" s="247" t="s">
        <v>952</v>
      </c>
      <c r="BA708" s="248" t="s">
        <v>934</v>
      </c>
      <c r="BB708" s="235">
        <v>41</v>
      </c>
      <c r="BC708" s="247" t="s">
        <v>1123</v>
      </c>
      <c r="BD708" s="247">
        <v>0.6</v>
      </c>
      <c r="BE708" s="247">
        <v>0.8</v>
      </c>
      <c r="BF708" s="247">
        <v>1.7</v>
      </c>
      <c r="BG708" s="247">
        <v>3.3</v>
      </c>
      <c r="BH708" s="247">
        <v>5.2</v>
      </c>
      <c r="BI708" s="247">
        <v>9.6</v>
      </c>
      <c r="BJ708" s="247">
        <v>13.8</v>
      </c>
      <c r="BK708" s="247">
        <v>12.7</v>
      </c>
      <c r="BL708" s="247">
        <v>7.7</v>
      </c>
      <c r="BM708" s="247">
        <v>4.2</v>
      </c>
      <c r="BN708" s="247">
        <v>1.9</v>
      </c>
      <c r="BO708" s="247">
        <v>1</v>
      </c>
      <c r="BP708" s="248">
        <v>5.2</v>
      </c>
    </row>
    <row r="709" spans="1:68" ht="14.25" customHeight="1">
      <c r="A709" s="233">
        <v>52</v>
      </c>
      <c r="B709" s="234">
        <v>3</v>
      </c>
      <c r="C709" s="244" t="s">
        <v>928</v>
      </c>
      <c r="D709" s="244" t="s">
        <v>974</v>
      </c>
      <c r="E709" s="244" t="s">
        <v>146</v>
      </c>
      <c r="F709" s="245">
        <v>-17.5</v>
      </c>
      <c r="G709" s="245">
        <v>-16.100000000000001</v>
      </c>
      <c r="H709" s="245">
        <v>-9.1</v>
      </c>
      <c r="I709" s="245">
        <v>2.1</v>
      </c>
      <c r="J709" s="245">
        <v>11.4</v>
      </c>
      <c r="K709" s="245">
        <v>17.7</v>
      </c>
      <c r="L709" s="245">
        <v>19.8</v>
      </c>
      <c r="M709" s="245">
        <v>16.899999999999999</v>
      </c>
      <c r="N709" s="245">
        <v>10.8</v>
      </c>
      <c r="O709" s="245">
        <v>2.5</v>
      </c>
      <c r="P709" s="245">
        <v>-7.9</v>
      </c>
      <c r="Q709" s="245">
        <v>-15</v>
      </c>
      <c r="R709" s="246">
        <v>1.3</v>
      </c>
      <c r="S709" s="233">
        <v>3</v>
      </c>
      <c r="T709" s="247" t="s">
        <v>1126</v>
      </c>
      <c r="U709" s="245">
        <v>-44</v>
      </c>
      <c r="V709" s="245">
        <v>-42</v>
      </c>
      <c r="W709" s="245">
        <v>-41</v>
      </c>
      <c r="X709" s="245">
        <v>-39</v>
      </c>
      <c r="Y709" s="245">
        <v>-23</v>
      </c>
      <c r="Z709" s="245">
        <v>-52</v>
      </c>
      <c r="AA709" s="245">
        <v>10.199999999999999</v>
      </c>
      <c r="AB709" s="245">
        <v>168</v>
      </c>
      <c r="AC709" s="245">
        <v>-11.4</v>
      </c>
      <c r="AD709" s="245">
        <v>221</v>
      </c>
      <c r="AE709" s="245">
        <v>-7.7</v>
      </c>
      <c r="AF709" s="245">
        <v>235</v>
      </c>
      <c r="AG709" s="245">
        <v>-6.7</v>
      </c>
      <c r="AH709" s="245">
        <v>79</v>
      </c>
      <c r="AI709" s="245">
        <v>76</v>
      </c>
      <c r="AJ709" s="245">
        <v>145</v>
      </c>
      <c r="AK709" s="245" t="s">
        <v>971</v>
      </c>
      <c r="AL709" s="245">
        <v>5.9</v>
      </c>
      <c r="AM709" s="246">
        <v>3.9</v>
      </c>
      <c r="AN709" s="235">
        <v>3</v>
      </c>
      <c r="AO709" s="247" t="s">
        <v>1127</v>
      </c>
      <c r="AP709" s="247">
        <v>990</v>
      </c>
      <c r="AQ709" s="247">
        <v>24.5</v>
      </c>
      <c r="AR709" s="247">
        <v>27.7</v>
      </c>
      <c r="AS709" s="247">
        <v>26</v>
      </c>
      <c r="AT709" s="247">
        <v>38</v>
      </c>
      <c r="AU709" s="247">
        <v>12.3</v>
      </c>
      <c r="AV709" s="247">
        <v>70</v>
      </c>
      <c r="AW709" s="247">
        <v>54</v>
      </c>
      <c r="AX709" s="247">
        <v>340</v>
      </c>
      <c r="AY709" s="247">
        <v>61</v>
      </c>
      <c r="AZ709" s="247" t="s">
        <v>940</v>
      </c>
      <c r="BA709" s="248">
        <v>0</v>
      </c>
      <c r="BB709" s="235">
        <v>3</v>
      </c>
      <c r="BC709" s="247" t="s">
        <v>146</v>
      </c>
      <c r="BD709" s="247">
        <v>1.6</v>
      </c>
      <c r="BE709" s="247">
        <v>1.7</v>
      </c>
      <c r="BF709" s="247">
        <v>2.8</v>
      </c>
      <c r="BG709" s="247">
        <v>5.2</v>
      </c>
      <c r="BH709" s="247">
        <v>7.5</v>
      </c>
      <c r="BI709" s="247">
        <v>12.4</v>
      </c>
      <c r="BJ709" s="247">
        <v>15.5</v>
      </c>
      <c r="BK709" s="247">
        <v>13.4</v>
      </c>
      <c r="BL709" s="247">
        <v>9.1</v>
      </c>
      <c r="BM709" s="247">
        <v>5.6</v>
      </c>
      <c r="BN709" s="247">
        <v>3.2</v>
      </c>
      <c r="BO709" s="247">
        <v>2</v>
      </c>
      <c r="BP709" s="248">
        <v>6.7</v>
      </c>
    </row>
    <row r="710" spans="1:68" ht="14.25" customHeight="1">
      <c r="A710" s="233">
        <v>53</v>
      </c>
      <c r="B710" s="234">
        <v>403</v>
      </c>
      <c r="C710" s="244" t="s">
        <v>928</v>
      </c>
      <c r="D710" s="244" t="s">
        <v>969</v>
      </c>
      <c r="E710" s="244" t="s">
        <v>1128</v>
      </c>
      <c r="F710" s="245">
        <v>-41.8</v>
      </c>
      <c r="G710" s="245">
        <v>-37.4</v>
      </c>
      <c r="H710" s="245">
        <v>-23.8</v>
      </c>
      <c r="I710" s="245">
        <v>-8.8000000000000007</v>
      </c>
      <c r="J710" s="245">
        <v>4.2</v>
      </c>
      <c r="K710" s="245">
        <v>13.7</v>
      </c>
      <c r="L710" s="245">
        <v>17.100000000000001</v>
      </c>
      <c r="M710" s="245">
        <v>13.6</v>
      </c>
      <c r="N710" s="245">
        <v>5</v>
      </c>
      <c r="O710" s="245">
        <v>-9.6</v>
      </c>
      <c r="P710" s="245">
        <v>-30.6</v>
      </c>
      <c r="Q710" s="245">
        <v>-40.1</v>
      </c>
      <c r="R710" s="246">
        <v>-11.5</v>
      </c>
      <c r="S710" s="233">
        <v>403</v>
      </c>
      <c r="T710" s="247" t="s">
        <v>1128</v>
      </c>
      <c r="U710" s="245">
        <v>-58</v>
      </c>
      <c r="V710" s="245">
        <v>-56</v>
      </c>
      <c r="W710" s="245">
        <v>-54</v>
      </c>
      <c r="X710" s="245">
        <v>-52</v>
      </c>
      <c r="Y710" s="245">
        <v>-47</v>
      </c>
      <c r="Z710" s="245">
        <v>-63</v>
      </c>
      <c r="AA710" s="245">
        <v>7.9</v>
      </c>
      <c r="AB710" s="245">
        <v>222</v>
      </c>
      <c r="AC710" s="245">
        <v>-25.7</v>
      </c>
      <c r="AD710" s="245">
        <v>265</v>
      </c>
      <c r="AE710" s="245">
        <v>-20.8</v>
      </c>
      <c r="AF710" s="245">
        <v>279</v>
      </c>
      <c r="AG710" s="245">
        <v>-19.399999999999999</v>
      </c>
      <c r="AH710" s="245">
        <v>72</v>
      </c>
      <c r="AI710" s="245">
        <v>69</v>
      </c>
      <c r="AJ710" s="245">
        <v>53</v>
      </c>
      <c r="AK710" s="245" t="s">
        <v>982</v>
      </c>
      <c r="AL710" s="245" t="s">
        <v>931</v>
      </c>
      <c r="AM710" s="246">
        <v>2.2999999999999998</v>
      </c>
      <c r="AN710" s="235">
        <v>403</v>
      </c>
      <c r="AO710" s="247" t="s">
        <v>1129</v>
      </c>
      <c r="AP710" s="247">
        <v>1000</v>
      </c>
      <c r="AQ710" s="247">
        <v>20.9</v>
      </c>
      <c r="AR710" s="247">
        <v>25.1</v>
      </c>
      <c r="AS710" s="247">
        <v>23.3</v>
      </c>
      <c r="AT710" s="247">
        <v>38</v>
      </c>
      <c r="AU710" s="247">
        <v>13</v>
      </c>
      <c r="AV710" s="247">
        <v>68</v>
      </c>
      <c r="AW710" s="247">
        <v>55</v>
      </c>
      <c r="AX710" s="247">
        <v>240</v>
      </c>
      <c r="AY710" s="247">
        <v>68</v>
      </c>
      <c r="AZ710" s="247" t="s">
        <v>952</v>
      </c>
      <c r="BA710" s="248" t="s">
        <v>934</v>
      </c>
      <c r="BB710" s="235">
        <v>367</v>
      </c>
      <c r="BC710" s="247" t="s">
        <v>1128</v>
      </c>
      <c r="BD710" s="247">
        <v>0.1</v>
      </c>
      <c r="BE710" s="247">
        <v>0.2</v>
      </c>
      <c r="BF710" s="247">
        <v>0.8</v>
      </c>
      <c r="BG710" s="247">
        <v>2.2000000000000002</v>
      </c>
      <c r="BH710" s="247">
        <v>4.8</v>
      </c>
      <c r="BI710" s="247">
        <v>9.8000000000000007</v>
      </c>
      <c r="BJ710" s="247">
        <v>13.3</v>
      </c>
      <c r="BK710" s="247">
        <v>11.5</v>
      </c>
      <c r="BL710" s="247">
        <v>6.5</v>
      </c>
      <c r="BM710" s="247">
        <v>2.7</v>
      </c>
      <c r="BN710" s="247">
        <v>0.5</v>
      </c>
      <c r="BO710" s="247">
        <v>0.2</v>
      </c>
      <c r="BP710" s="248">
        <v>4.4000000000000004</v>
      </c>
    </row>
    <row r="711" spans="1:68" ht="14.25" customHeight="1">
      <c r="A711" s="233">
        <v>54</v>
      </c>
      <c r="B711" s="234">
        <v>494</v>
      </c>
      <c r="C711" s="244" t="s">
        <v>1130</v>
      </c>
      <c r="D711" s="244" t="s">
        <v>1130</v>
      </c>
      <c r="E711" s="244" t="s">
        <v>1131</v>
      </c>
      <c r="F711" s="245">
        <v>7.1</v>
      </c>
      <c r="G711" s="245">
        <v>7.3</v>
      </c>
      <c r="H711" s="245">
        <v>8.4</v>
      </c>
      <c r="I711" s="245">
        <v>11.9</v>
      </c>
      <c r="J711" s="245">
        <v>16.399999999999999</v>
      </c>
      <c r="K711" s="245">
        <v>20.399999999999999</v>
      </c>
      <c r="L711" s="245">
        <v>22.8</v>
      </c>
      <c r="M711" s="245">
        <v>23</v>
      </c>
      <c r="N711" s="245">
        <v>20.2</v>
      </c>
      <c r="O711" s="245">
        <v>16</v>
      </c>
      <c r="P711" s="245">
        <v>12.3</v>
      </c>
      <c r="Q711" s="245">
        <v>9.3000000000000007</v>
      </c>
      <c r="R711" s="246">
        <v>14.6</v>
      </c>
      <c r="S711" s="233">
        <v>494</v>
      </c>
      <c r="T711" s="247" t="s">
        <v>1132</v>
      </c>
      <c r="U711" s="245">
        <v>-4</v>
      </c>
      <c r="V711" s="245">
        <v>-2</v>
      </c>
      <c r="W711" s="245">
        <v>-2</v>
      </c>
      <c r="X711" s="245">
        <v>-1</v>
      </c>
      <c r="Y711" s="245">
        <v>4</v>
      </c>
      <c r="Z711" s="245">
        <v>-8</v>
      </c>
      <c r="AA711" s="245">
        <v>6.4</v>
      </c>
      <c r="AB711" s="245">
        <v>0</v>
      </c>
      <c r="AC711" s="245" t="s">
        <v>830</v>
      </c>
      <c r="AD711" s="245">
        <v>64</v>
      </c>
      <c r="AE711" s="245">
        <v>7.3</v>
      </c>
      <c r="AF711" s="245">
        <v>112</v>
      </c>
      <c r="AG711" s="245">
        <v>8.1</v>
      </c>
      <c r="AH711" s="245" t="s">
        <v>956</v>
      </c>
      <c r="AI711" s="245">
        <v>70</v>
      </c>
      <c r="AJ711" s="245">
        <v>1231</v>
      </c>
      <c r="AK711" s="245" t="s">
        <v>990</v>
      </c>
      <c r="AL711" s="245" t="s">
        <v>931</v>
      </c>
      <c r="AM711" s="246">
        <v>3.2</v>
      </c>
      <c r="AN711" s="235">
        <v>494</v>
      </c>
      <c r="AO711" s="247" t="s">
        <v>1133</v>
      </c>
      <c r="AP711" s="247">
        <v>1015</v>
      </c>
      <c r="AQ711" s="247">
        <v>32</v>
      </c>
      <c r="AR711" s="247">
        <v>26</v>
      </c>
      <c r="AS711" s="247">
        <v>30.2</v>
      </c>
      <c r="AT711" s="247">
        <v>38</v>
      </c>
      <c r="AU711" s="247">
        <v>6.6</v>
      </c>
      <c r="AV711" s="247">
        <v>79</v>
      </c>
      <c r="AW711" s="247">
        <v>71</v>
      </c>
      <c r="AX711" s="247" t="s">
        <v>931</v>
      </c>
      <c r="AY711" s="247">
        <v>276</v>
      </c>
      <c r="AZ711" s="247" t="s">
        <v>978</v>
      </c>
      <c r="BA711" s="248">
        <v>1.1000000000000001</v>
      </c>
      <c r="BB711" s="235"/>
      <c r="BC711" s="247" t="s">
        <v>1132</v>
      </c>
      <c r="BD711" s="247"/>
      <c r="BE711" s="247"/>
      <c r="BF711" s="247"/>
      <c r="BG711" s="247"/>
      <c r="BH711" s="247"/>
      <c r="BI711" s="247"/>
      <c r="BJ711" s="247"/>
      <c r="BK711" s="247"/>
      <c r="BL711" s="247"/>
      <c r="BM711" s="247"/>
      <c r="BN711" s="247"/>
      <c r="BO711" s="247"/>
      <c r="BP711" s="248"/>
    </row>
    <row r="712" spans="1:68" ht="14.25" customHeight="1">
      <c r="A712" s="233">
        <v>55</v>
      </c>
      <c r="B712" s="234">
        <v>530</v>
      </c>
      <c r="C712" s="244" t="s">
        <v>960</v>
      </c>
      <c r="D712" s="244" t="s">
        <v>1078</v>
      </c>
      <c r="E712" s="244" t="s">
        <v>1134</v>
      </c>
      <c r="F712" s="245">
        <v>-13.2</v>
      </c>
      <c r="G712" s="245">
        <v>-11.4</v>
      </c>
      <c r="H712" s="245">
        <v>-1.9</v>
      </c>
      <c r="I712" s="245">
        <v>9.4</v>
      </c>
      <c r="J712" s="245">
        <v>15.8</v>
      </c>
      <c r="K712" s="245">
        <v>20.7</v>
      </c>
      <c r="L712" s="245">
        <v>23</v>
      </c>
      <c r="M712" s="245">
        <v>21.5</v>
      </c>
      <c r="N712" s="245">
        <v>15.4</v>
      </c>
      <c r="O712" s="245">
        <v>7.3</v>
      </c>
      <c r="P712" s="245">
        <v>-2.8</v>
      </c>
      <c r="Q712" s="245">
        <v>-10.5</v>
      </c>
      <c r="R712" s="246">
        <v>6.1</v>
      </c>
      <c r="S712" s="233">
        <v>530</v>
      </c>
      <c r="T712" s="247" t="s">
        <v>1134</v>
      </c>
      <c r="U712" s="245">
        <v>-38</v>
      </c>
      <c r="V712" s="245">
        <v>-36</v>
      </c>
      <c r="W712" s="245">
        <v>-33</v>
      </c>
      <c r="X712" s="245">
        <v>-30</v>
      </c>
      <c r="Y712" s="245" t="s">
        <v>956</v>
      </c>
      <c r="Z712" s="245" t="s">
        <v>931</v>
      </c>
      <c r="AA712" s="245">
        <v>13.5</v>
      </c>
      <c r="AB712" s="245">
        <v>135</v>
      </c>
      <c r="AC712" s="245">
        <v>-9.1</v>
      </c>
      <c r="AD712" s="245">
        <v>181</v>
      </c>
      <c r="AE712" s="245">
        <v>-5.6</v>
      </c>
      <c r="AF712" s="245">
        <v>194</v>
      </c>
      <c r="AG712" s="245">
        <v>-4.5999999999999996</v>
      </c>
      <c r="AH712" s="245">
        <v>76</v>
      </c>
      <c r="AI712" s="245" t="s">
        <v>956</v>
      </c>
      <c r="AJ712" s="245">
        <v>125</v>
      </c>
      <c r="AK712" s="245" t="s">
        <v>931</v>
      </c>
      <c r="AL712" s="245" t="s">
        <v>931</v>
      </c>
      <c r="AM712" s="246" t="s">
        <v>931</v>
      </c>
      <c r="AN712" s="235">
        <v>530</v>
      </c>
      <c r="AO712" s="247" t="s">
        <v>1135</v>
      </c>
      <c r="AP712" s="247" t="s">
        <v>965</v>
      </c>
      <c r="AQ712" s="247" t="s">
        <v>958</v>
      </c>
      <c r="AR712" s="247" t="s">
        <v>931</v>
      </c>
      <c r="AS712" s="247">
        <v>30.9</v>
      </c>
      <c r="AT712" s="247">
        <v>42</v>
      </c>
      <c r="AU712" s="247">
        <v>17.3</v>
      </c>
      <c r="AV712" s="247">
        <v>52</v>
      </c>
      <c r="AW712" s="247" t="s">
        <v>931</v>
      </c>
      <c r="AX712" s="247">
        <v>153</v>
      </c>
      <c r="AY712" s="247" t="s">
        <v>965</v>
      </c>
      <c r="AZ712" s="247" t="s">
        <v>933</v>
      </c>
      <c r="BA712" s="248" t="s">
        <v>934</v>
      </c>
      <c r="BB712" s="235"/>
      <c r="BC712" s="247" t="s">
        <v>1134</v>
      </c>
      <c r="BD712" s="247"/>
      <c r="BE712" s="247"/>
      <c r="BF712" s="247"/>
      <c r="BG712" s="247"/>
      <c r="BH712" s="247"/>
      <c r="BI712" s="247"/>
      <c r="BJ712" s="247"/>
      <c r="BK712" s="247"/>
      <c r="BL712" s="247"/>
      <c r="BM712" s="247"/>
      <c r="BN712" s="247"/>
      <c r="BO712" s="247"/>
      <c r="BP712" s="248"/>
    </row>
    <row r="713" spans="1:68" ht="14.25" customHeight="1">
      <c r="A713" s="233">
        <v>56</v>
      </c>
      <c r="B713" s="234">
        <v>526</v>
      </c>
      <c r="C713" s="244" t="s">
        <v>960</v>
      </c>
      <c r="D713" s="244" t="s">
        <v>1136</v>
      </c>
      <c r="E713" s="244" t="s">
        <v>1137</v>
      </c>
      <c r="F713" s="245">
        <v>-13.2</v>
      </c>
      <c r="G713" s="245">
        <v>-13.1</v>
      </c>
      <c r="H713" s="245">
        <v>-7</v>
      </c>
      <c r="I713" s="245">
        <v>4.7</v>
      </c>
      <c r="J713" s="245">
        <v>12.7</v>
      </c>
      <c r="K713" s="245">
        <v>18.600000000000001</v>
      </c>
      <c r="L713" s="245">
        <v>20.5</v>
      </c>
      <c r="M713" s="245">
        <v>17.7</v>
      </c>
      <c r="N713" s="245">
        <v>12.1</v>
      </c>
      <c r="O713" s="245">
        <v>3.5</v>
      </c>
      <c r="P713" s="245">
        <v>-5.7</v>
      </c>
      <c r="Q713" s="245">
        <v>-11.4</v>
      </c>
      <c r="R713" s="246">
        <v>3.3</v>
      </c>
      <c r="S713" s="233">
        <v>526</v>
      </c>
      <c r="T713" s="247" t="s">
        <v>1137</v>
      </c>
      <c r="U713" s="245">
        <v>-39</v>
      </c>
      <c r="V713" s="245">
        <v>-37</v>
      </c>
      <c r="W713" s="245">
        <v>-35</v>
      </c>
      <c r="X713" s="245">
        <v>-32</v>
      </c>
      <c r="Y713" s="245" t="s">
        <v>956</v>
      </c>
      <c r="Z713" s="245" t="s">
        <v>931</v>
      </c>
      <c r="AA713" s="245">
        <v>8.9</v>
      </c>
      <c r="AB713" s="245">
        <v>157</v>
      </c>
      <c r="AC713" s="245">
        <v>-9.6999999999999993</v>
      </c>
      <c r="AD713" s="245">
        <v>208</v>
      </c>
      <c r="AE713" s="245">
        <v>-6.3</v>
      </c>
      <c r="AF713" s="245">
        <v>224</v>
      </c>
      <c r="AG713" s="245">
        <v>-5.2</v>
      </c>
      <c r="AH713" s="245">
        <v>72</v>
      </c>
      <c r="AI713" s="245" t="s">
        <v>956</v>
      </c>
      <c r="AJ713" s="245">
        <v>88</v>
      </c>
      <c r="AK713" s="245" t="s">
        <v>950</v>
      </c>
      <c r="AL713" s="245">
        <v>8.6999999999999993</v>
      </c>
      <c r="AM713" s="246">
        <v>3.9</v>
      </c>
      <c r="AN713" s="235">
        <v>526</v>
      </c>
      <c r="AO713" s="247" t="s">
        <v>1138</v>
      </c>
      <c r="AP713" s="247" t="s">
        <v>965</v>
      </c>
      <c r="AQ713" s="247" t="s">
        <v>958</v>
      </c>
      <c r="AR713" s="247" t="s">
        <v>931</v>
      </c>
      <c r="AS713" s="247">
        <v>26.2</v>
      </c>
      <c r="AT713" s="247">
        <v>38</v>
      </c>
      <c r="AU713" s="247">
        <v>11.6</v>
      </c>
      <c r="AV713" s="247">
        <v>54</v>
      </c>
      <c r="AW713" s="247" t="s">
        <v>931</v>
      </c>
      <c r="AX713" s="247">
        <v>273</v>
      </c>
      <c r="AY713" s="247" t="s">
        <v>965</v>
      </c>
      <c r="AZ713" s="247" t="s">
        <v>952</v>
      </c>
      <c r="BA713" s="248">
        <v>4.5</v>
      </c>
      <c r="BB713" s="235"/>
      <c r="BC713" s="247" t="s">
        <v>1137</v>
      </c>
      <c r="BD713" s="247"/>
      <c r="BE713" s="247"/>
      <c r="BF713" s="247"/>
      <c r="BG713" s="247"/>
      <c r="BH713" s="247"/>
      <c r="BI713" s="247"/>
      <c r="BJ713" s="247"/>
      <c r="BK713" s="247"/>
      <c r="BL713" s="247"/>
      <c r="BM713" s="247"/>
      <c r="BN713" s="247"/>
      <c r="BO713" s="247"/>
      <c r="BP713" s="248"/>
    </row>
    <row r="714" spans="1:68" ht="14.25" customHeight="1">
      <c r="A714" s="233">
        <v>57</v>
      </c>
      <c r="B714" s="234">
        <v>314</v>
      </c>
      <c r="C714" s="244" t="s">
        <v>928</v>
      </c>
      <c r="D714" s="244" t="s">
        <v>1139</v>
      </c>
      <c r="E714" s="244" t="s">
        <v>1140</v>
      </c>
      <c r="F714" s="245">
        <v>-10.7</v>
      </c>
      <c r="G714" s="245">
        <v>-10.199999999999999</v>
      </c>
      <c r="H714" s="245">
        <v>-5.2</v>
      </c>
      <c r="I714" s="245">
        <v>3.2</v>
      </c>
      <c r="J714" s="245">
        <v>10.8</v>
      </c>
      <c r="K714" s="245">
        <v>15.2</v>
      </c>
      <c r="L714" s="245">
        <v>17.100000000000001</v>
      </c>
      <c r="M714" s="245">
        <v>15.4</v>
      </c>
      <c r="N714" s="245">
        <v>9.8000000000000007</v>
      </c>
      <c r="O714" s="245">
        <v>3.6</v>
      </c>
      <c r="P714" s="245">
        <v>-2.2999999999999998</v>
      </c>
      <c r="Q714" s="245">
        <v>-7.7</v>
      </c>
      <c r="R714" s="246">
        <v>3.2</v>
      </c>
      <c r="S714" s="233">
        <v>314</v>
      </c>
      <c r="T714" s="247" t="s">
        <v>1141</v>
      </c>
      <c r="U714" s="245">
        <v>-38</v>
      </c>
      <c r="V714" s="245">
        <v>-34</v>
      </c>
      <c r="W714" s="245">
        <v>-34</v>
      </c>
      <c r="X714" s="245">
        <v>-31</v>
      </c>
      <c r="Y714" s="245">
        <v>-16</v>
      </c>
      <c r="Z714" s="245">
        <v>-52</v>
      </c>
      <c r="AA714" s="245">
        <v>6.8</v>
      </c>
      <c r="AB714" s="245">
        <v>151</v>
      </c>
      <c r="AC714" s="245">
        <v>-6.8</v>
      </c>
      <c r="AD714" s="245">
        <v>222</v>
      </c>
      <c r="AE714" s="245">
        <v>-3.4</v>
      </c>
      <c r="AF714" s="245">
        <v>240</v>
      </c>
      <c r="AG714" s="245">
        <v>-2.4</v>
      </c>
      <c r="AH714" s="245">
        <v>84</v>
      </c>
      <c r="AI714" s="245">
        <v>84</v>
      </c>
      <c r="AJ714" s="245">
        <v>169</v>
      </c>
      <c r="AK714" s="245" t="s">
        <v>971</v>
      </c>
      <c r="AL714" s="245">
        <v>5</v>
      </c>
      <c r="AM714" s="246">
        <v>4</v>
      </c>
      <c r="AN714" s="235">
        <v>314</v>
      </c>
      <c r="AO714" s="247" t="s">
        <v>1142</v>
      </c>
      <c r="AP714" s="247">
        <v>995</v>
      </c>
      <c r="AQ714" s="247">
        <v>19.8</v>
      </c>
      <c r="AR714" s="247">
        <v>24.1</v>
      </c>
      <c r="AS714" s="247">
        <v>22.2</v>
      </c>
      <c r="AT714" s="247">
        <v>35</v>
      </c>
      <c r="AU714" s="247">
        <v>10.4</v>
      </c>
      <c r="AV714" s="247">
        <v>76</v>
      </c>
      <c r="AW714" s="247">
        <v>60</v>
      </c>
      <c r="AX714" s="247">
        <v>416</v>
      </c>
      <c r="AY714" s="247">
        <v>78</v>
      </c>
      <c r="AZ714" s="247" t="s">
        <v>952</v>
      </c>
      <c r="BA714" s="248">
        <v>3.1</v>
      </c>
      <c r="BB714" s="235">
        <v>282</v>
      </c>
      <c r="BC714" s="247" t="s">
        <v>1140</v>
      </c>
      <c r="BD714" s="247">
        <v>2.7</v>
      </c>
      <c r="BE714" s="247">
        <v>2.7</v>
      </c>
      <c r="BF714" s="247">
        <v>3.6</v>
      </c>
      <c r="BG714" s="247">
        <v>6</v>
      </c>
      <c r="BH714" s="247">
        <v>8.9</v>
      </c>
      <c r="BI714" s="247">
        <v>12.4</v>
      </c>
      <c r="BJ714" s="247">
        <v>14.6</v>
      </c>
      <c r="BK714" s="247">
        <v>13.8</v>
      </c>
      <c r="BL714" s="247">
        <v>10.1</v>
      </c>
      <c r="BM714" s="247">
        <v>7</v>
      </c>
      <c r="BN714" s="247">
        <v>4.8</v>
      </c>
      <c r="BO714" s="247">
        <v>3.5</v>
      </c>
      <c r="BP714" s="248">
        <v>7.5</v>
      </c>
    </row>
    <row r="715" spans="1:68" ht="14.25" customHeight="1">
      <c r="A715" s="233">
        <v>58</v>
      </c>
      <c r="B715" s="234">
        <v>52</v>
      </c>
      <c r="C715" s="244" t="s">
        <v>928</v>
      </c>
      <c r="D715" s="244" t="s">
        <v>1143</v>
      </c>
      <c r="E715" s="244" t="s">
        <v>1144</v>
      </c>
      <c r="F715" s="245">
        <v>-8.5</v>
      </c>
      <c r="G715" s="245">
        <v>-6.4</v>
      </c>
      <c r="H715" s="245">
        <v>-2.5</v>
      </c>
      <c r="I715" s="245">
        <v>7.5</v>
      </c>
      <c r="J715" s="245">
        <v>14.6</v>
      </c>
      <c r="K715" s="245">
        <v>17.899999999999999</v>
      </c>
      <c r="L715" s="245">
        <v>19.899999999999999</v>
      </c>
      <c r="M715" s="245">
        <v>18.7</v>
      </c>
      <c r="N715" s="245">
        <v>12.9</v>
      </c>
      <c r="O715" s="245">
        <v>6.4</v>
      </c>
      <c r="P715" s="245">
        <v>0.3</v>
      </c>
      <c r="Q715" s="245">
        <v>-4.5</v>
      </c>
      <c r="R715" s="246">
        <v>6.4</v>
      </c>
      <c r="S715" s="233">
        <v>52</v>
      </c>
      <c r="T715" s="247" t="s">
        <v>1145</v>
      </c>
      <c r="U715" s="245">
        <v>-29</v>
      </c>
      <c r="V715" s="245">
        <v>-28</v>
      </c>
      <c r="W715" s="245">
        <v>-27</v>
      </c>
      <c r="X715" s="245">
        <v>-23</v>
      </c>
      <c r="Y715" s="245">
        <v>-13</v>
      </c>
      <c r="Z715" s="245">
        <v>-35</v>
      </c>
      <c r="AA715" s="245">
        <v>5.9</v>
      </c>
      <c r="AB715" s="245">
        <v>126</v>
      </c>
      <c r="AC715" s="245">
        <v>-5</v>
      </c>
      <c r="AD715" s="245">
        <v>191</v>
      </c>
      <c r="AE715" s="245">
        <v>-1.9</v>
      </c>
      <c r="AF715" s="245">
        <v>209</v>
      </c>
      <c r="AG715" s="245">
        <v>-1</v>
      </c>
      <c r="AH715" s="245">
        <v>84</v>
      </c>
      <c r="AI715" s="245">
        <v>84</v>
      </c>
      <c r="AJ715" s="245">
        <v>191</v>
      </c>
      <c r="AK715" s="245" t="s">
        <v>971</v>
      </c>
      <c r="AL715" s="245">
        <v>5.9</v>
      </c>
      <c r="AM715" s="246">
        <v>5.3</v>
      </c>
      <c r="AN715" s="235">
        <v>52</v>
      </c>
      <c r="AO715" s="247" t="s">
        <v>1146</v>
      </c>
      <c r="AP715" s="247">
        <v>990</v>
      </c>
      <c r="AQ715" s="247">
        <v>23.3</v>
      </c>
      <c r="AR715" s="247">
        <v>27.4</v>
      </c>
      <c r="AS715" s="247">
        <v>25.7</v>
      </c>
      <c r="AT715" s="247">
        <v>38</v>
      </c>
      <c r="AU715" s="247">
        <v>11.4</v>
      </c>
      <c r="AV715" s="247">
        <v>66</v>
      </c>
      <c r="AW715" s="247">
        <v>52</v>
      </c>
      <c r="AX715" s="247">
        <v>362</v>
      </c>
      <c r="AY715" s="247">
        <v>83</v>
      </c>
      <c r="AZ715" s="247" t="s">
        <v>940</v>
      </c>
      <c r="BA715" s="248">
        <v>4.0999999999999996</v>
      </c>
      <c r="BB715" s="235">
        <v>38</v>
      </c>
      <c r="BC715" s="247" t="s">
        <v>1144</v>
      </c>
      <c r="BD715" s="247">
        <v>3.2</v>
      </c>
      <c r="BE715" s="247">
        <v>3.6</v>
      </c>
      <c r="BF715" s="247">
        <v>4.5</v>
      </c>
      <c r="BG715" s="247">
        <v>7.2</v>
      </c>
      <c r="BH715" s="247">
        <v>9.9</v>
      </c>
      <c r="BI715" s="247">
        <v>12.8</v>
      </c>
      <c r="BJ715" s="247">
        <v>14.9</v>
      </c>
      <c r="BK715" s="247">
        <v>13.7</v>
      </c>
      <c r="BL715" s="247">
        <v>10.199999999999999</v>
      </c>
      <c r="BM715" s="247">
        <v>7.7</v>
      </c>
      <c r="BN715" s="247">
        <v>5.7</v>
      </c>
      <c r="BO715" s="247">
        <v>4.4000000000000004</v>
      </c>
      <c r="BP715" s="248">
        <v>8.1999999999999993</v>
      </c>
    </row>
    <row r="716" spans="1:68" ht="14.25" customHeight="1">
      <c r="A716" s="233">
        <v>59</v>
      </c>
      <c r="B716" s="234">
        <v>15</v>
      </c>
      <c r="C716" s="244" t="s">
        <v>928</v>
      </c>
      <c r="D716" s="244" t="s">
        <v>1046</v>
      </c>
      <c r="E716" s="244" t="s">
        <v>278</v>
      </c>
      <c r="F716" s="245">
        <v>-27.1</v>
      </c>
      <c r="G716" s="245">
        <v>-20.7</v>
      </c>
      <c r="H716" s="245">
        <v>-10.9</v>
      </c>
      <c r="I716" s="245">
        <v>1.8</v>
      </c>
      <c r="J716" s="245">
        <v>10.3</v>
      </c>
      <c r="K716" s="245">
        <v>17.399999999999999</v>
      </c>
      <c r="L716" s="245">
        <v>21.1</v>
      </c>
      <c r="M716" s="245">
        <v>18.7</v>
      </c>
      <c r="N716" s="245">
        <v>11.7</v>
      </c>
      <c r="O716" s="245">
        <v>1.3</v>
      </c>
      <c r="P716" s="245">
        <v>-13.5</v>
      </c>
      <c r="Q716" s="245">
        <v>-24</v>
      </c>
      <c r="R716" s="246">
        <v>-1.2</v>
      </c>
      <c r="S716" s="233">
        <v>15</v>
      </c>
      <c r="T716" s="247" t="s">
        <v>1147</v>
      </c>
      <c r="U716" s="245">
        <v>-43</v>
      </c>
      <c r="V716" s="245">
        <v>-40</v>
      </c>
      <c r="W716" s="245">
        <v>-41</v>
      </c>
      <c r="X716" s="245">
        <v>-37</v>
      </c>
      <c r="Y716" s="245">
        <v>-32</v>
      </c>
      <c r="Z716" s="245">
        <v>-48</v>
      </c>
      <c r="AA716" s="245">
        <v>10</v>
      </c>
      <c r="AB716" s="245">
        <v>174</v>
      </c>
      <c r="AC716" s="245">
        <v>-16.399999999999999</v>
      </c>
      <c r="AD716" s="245">
        <v>223</v>
      </c>
      <c r="AE716" s="245">
        <v>-11.9</v>
      </c>
      <c r="AF716" s="245">
        <v>236</v>
      </c>
      <c r="AG716" s="245">
        <v>-10.7</v>
      </c>
      <c r="AH716" s="245">
        <v>76</v>
      </c>
      <c r="AI716" s="245">
        <v>73</v>
      </c>
      <c r="AJ716" s="245">
        <v>53</v>
      </c>
      <c r="AK716" s="245" t="s">
        <v>944</v>
      </c>
      <c r="AL716" s="245">
        <v>2.7</v>
      </c>
      <c r="AM716" s="246">
        <v>2.9</v>
      </c>
      <c r="AN716" s="235">
        <v>15</v>
      </c>
      <c r="AO716" s="247" t="s">
        <v>1148</v>
      </c>
      <c r="AP716" s="247">
        <v>985</v>
      </c>
      <c r="AQ716" s="247">
        <v>24.2</v>
      </c>
      <c r="AR716" s="247">
        <v>28.3</v>
      </c>
      <c r="AS716" s="247">
        <v>26.6</v>
      </c>
      <c r="AT716" s="247">
        <v>40</v>
      </c>
      <c r="AU716" s="247">
        <v>10.9</v>
      </c>
      <c r="AV716" s="247">
        <v>75</v>
      </c>
      <c r="AW716" s="247">
        <v>61</v>
      </c>
      <c r="AX716" s="247">
        <v>481</v>
      </c>
      <c r="AY716" s="247">
        <v>105</v>
      </c>
      <c r="AZ716" s="247" t="s">
        <v>973</v>
      </c>
      <c r="BA716" s="248">
        <v>3.1</v>
      </c>
      <c r="BB716" s="235"/>
      <c r="BC716" s="247" t="s">
        <v>278</v>
      </c>
      <c r="BD716" s="247"/>
      <c r="BE716" s="247"/>
      <c r="BF716" s="247"/>
      <c r="BG716" s="247"/>
      <c r="BH716" s="247"/>
      <c r="BI716" s="247"/>
      <c r="BJ716" s="247"/>
      <c r="BK716" s="247"/>
      <c r="BL716" s="247"/>
      <c r="BM716" s="247"/>
      <c r="BN716" s="247"/>
      <c r="BO716" s="247"/>
      <c r="BP716" s="248"/>
    </row>
    <row r="717" spans="1:68" ht="14.25" customHeight="1">
      <c r="A717" s="233">
        <v>60</v>
      </c>
      <c r="B717" s="234">
        <v>47</v>
      </c>
      <c r="C717" s="244" t="s">
        <v>928</v>
      </c>
      <c r="D717" s="244" t="s">
        <v>1149</v>
      </c>
      <c r="E717" s="244" t="s">
        <v>1150</v>
      </c>
      <c r="F717" s="245">
        <v>-16.2</v>
      </c>
      <c r="G717" s="245">
        <v>-14.4</v>
      </c>
      <c r="H717" s="245">
        <v>-7.8</v>
      </c>
      <c r="I717" s="245">
        <v>2.7</v>
      </c>
      <c r="J717" s="245">
        <v>10.199999999999999</v>
      </c>
      <c r="K717" s="245">
        <v>14.5</v>
      </c>
      <c r="L717" s="245">
        <v>16</v>
      </c>
      <c r="M717" s="245">
        <v>14.2</v>
      </c>
      <c r="N717" s="245">
        <v>8.6999999999999993</v>
      </c>
      <c r="O717" s="245">
        <v>0.7</v>
      </c>
      <c r="P717" s="245">
        <v>-7.4</v>
      </c>
      <c r="Q717" s="245">
        <v>-13.8</v>
      </c>
      <c r="R717" s="246">
        <v>0.6</v>
      </c>
      <c r="S717" s="233">
        <v>47</v>
      </c>
      <c r="T717" s="247" t="s">
        <v>1151</v>
      </c>
      <c r="U717" s="245">
        <v>-39</v>
      </c>
      <c r="V717" s="245">
        <v>-37</v>
      </c>
      <c r="W717" s="245">
        <v>-37</v>
      </c>
      <c r="X717" s="245">
        <v>-34</v>
      </c>
      <c r="Y717" s="245">
        <v>-21</v>
      </c>
      <c r="Z717" s="245">
        <v>-45</v>
      </c>
      <c r="AA717" s="245">
        <v>8.5</v>
      </c>
      <c r="AB717" s="245">
        <v>171</v>
      </c>
      <c r="AC717" s="245">
        <v>-10.3</v>
      </c>
      <c r="AD717" s="245">
        <v>231</v>
      </c>
      <c r="AE717" s="245">
        <v>-6.5</v>
      </c>
      <c r="AF717" s="245">
        <v>249</v>
      </c>
      <c r="AG717" s="245">
        <v>-5.4</v>
      </c>
      <c r="AH717" s="245">
        <v>79</v>
      </c>
      <c r="AI717" s="245">
        <v>76</v>
      </c>
      <c r="AJ717" s="245">
        <v>132</v>
      </c>
      <c r="AK717" s="245" t="s">
        <v>971</v>
      </c>
      <c r="AL717" s="245">
        <v>5.6</v>
      </c>
      <c r="AM717" s="246">
        <v>3.5</v>
      </c>
      <c r="AN717" s="235">
        <v>47</v>
      </c>
      <c r="AO717" s="247" t="s">
        <v>1152</v>
      </c>
      <c r="AP717" s="247">
        <v>950</v>
      </c>
      <c r="AQ717" s="247">
        <v>20</v>
      </c>
      <c r="AR717" s="247">
        <v>24.3</v>
      </c>
      <c r="AS717" s="247">
        <v>22.4</v>
      </c>
      <c r="AT717" s="247">
        <v>38</v>
      </c>
      <c r="AU717" s="247">
        <v>11.9</v>
      </c>
      <c r="AV717" s="247">
        <v>73</v>
      </c>
      <c r="AW717" s="247">
        <v>50</v>
      </c>
      <c r="AX717" s="247">
        <v>369</v>
      </c>
      <c r="AY717" s="247">
        <v>69</v>
      </c>
      <c r="AZ717" s="247" t="s">
        <v>952</v>
      </c>
      <c r="BA717" s="248">
        <v>0</v>
      </c>
      <c r="BB717" s="235">
        <v>33</v>
      </c>
      <c r="BC717" s="247" t="s">
        <v>1150</v>
      </c>
      <c r="BD717" s="247">
        <v>1.7</v>
      </c>
      <c r="BE717" s="247">
        <v>1.7</v>
      </c>
      <c r="BF717" s="247">
        <v>2.7</v>
      </c>
      <c r="BG717" s="247">
        <v>5</v>
      </c>
      <c r="BH717" s="247">
        <v>7.3</v>
      </c>
      <c r="BI717" s="247">
        <v>10.8</v>
      </c>
      <c r="BJ717" s="247">
        <v>13.2</v>
      </c>
      <c r="BK717" s="247">
        <v>11.5</v>
      </c>
      <c r="BL717" s="247">
        <v>8.1999999999999993</v>
      </c>
      <c r="BM717" s="247">
        <v>5</v>
      </c>
      <c r="BN717" s="247">
        <v>3.2</v>
      </c>
      <c r="BO717" s="247">
        <v>2.1</v>
      </c>
      <c r="BP717" s="248">
        <v>6</v>
      </c>
    </row>
    <row r="718" spans="1:68" ht="14.25" customHeight="1">
      <c r="A718" s="233">
        <v>61</v>
      </c>
      <c r="B718" s="234">
        <v>4</v>
      </c>
      <c r="C718" s="244" t="s">
        <v>928</v>
      </c>
      <c r="D718" s="244" t="s">
        <v>974</v>
      </c>
      <c r="E718" s="244" t="s">
        <v>1153</v>
      </c>
      <c r="F718" s="245">
        <v>-9.1999999999999993</v>
      </c>
      <c r="G718" s="245">
        <v>-8.1</v>
      </c>
      <c r="H718" s="245">
        <v>-3.2</v>
      </c>
      <c r="I718" s="245">
        <v>3.2</v>
      </c>
      <c r="J718" s="245">
        <v>9.5</v>
      </c>
      <c r="K718" s="245">
        <v>14.6</v>
      </c>
      <c r="L718" s="245">
        <v>16.899999999999999</v>
      </c>
      <c r="M718" s="245">
        <v>15.5</v>
      </c>
      <c r="N718" s="245">
        <v>10.7</v>
      </c>
      <c r="O718" s="245">
        <v>4.0999999999999996</v>
      </c>
      <c r="P718" s="245">
        <v>-3.2</v>
      </c>
      <c r="Q718" s="245">
        <v>-7.9</v>
      </c>
      <c r="R718" s="246">
        <v>3.6</v>
      </c>
      <c r="S718" s="233">
        <v>4</v>
      </c>
      <c r="T718" s="247" t="s">
        <v>1154</v>
      </c>
      <c r="U718" s="245">
        <v>-27</v>
      </c>
      <c r="V718" s="245">
        <v>-26</v>
      </c>
      <c r="W718" s="245">
        <v>-25</v>
      </c>
      <c r="X718" s="245">
        <v>-23</v>
      </c>
      <c r="Y718" s="245">
        <v>-14</v>
      </c>
      <c r="Z718" s="245">
        <v>-35</v>
      </c>
      <c r="AA718" s="245">
        <v>5.9</v>
      </c>
      <c r="AB718" s="245">
        <v>149</v>
      </c>
      <c r="AC718" s="245">
        <v>-6</v>
      </c>
      <c r="AD718" s="245">
        <v>223</v>
      </c>
      <c r="AE718" s="245">
        <v>-2.7</v>
      </c>
      <c r="AF718" s="245">
        <v>242</v>
      </c>
      <c r="AG718" s="245">
        <v>-1.7</v>
      </c>
      <c r="AH718" s="245">
        <v>59</v>
      </c>
      <c r="AI718" s="245">
        <v>55</v>
      </c>
      <c r="AJ718" s="245">
        <v>121</v>
      </c>
      <c r="AK718" s="245" t="s">
        <v>990</v>
      </c>
      <c r="AL718" s="245">
        <v>7</v>
      </c>
      <c r="AM718" s="246">
        <v>4.5</v>
      </c>
      <c r="AN718" s="235">
        <v>4</v>
      </c>
      <c r="AO718" s="247" t="s">
        <v>1155</v>
      </c>
      <c r="AP718" s="247">
        <v>960</v>
      </c>
      <c r="AQ718" s="247">
        <v>19.899999999999999</v>
      </c>
      <c r="AR718" s="247">
        <v>24.2</v>
      </c>
      <c r="AS718" s="247">
        <v>22.3</v>
      </c>
      <c r="AT718" s="247">
        <v>35</v>
      </c>
      <c r="AU718" s="247">
        <v>9.5</v>
      </c>
      <c r="AV718" s="247">
        <v>72</v>
      </c>
      <c r="AW718" s="247">
        <v>64</v>
      </c>
      <c r="AX718" s="247">
        <v>463</v>
      </c>
      <c r="AY718" s="247">
        <v>97</v>
      </c>
      <c r="AZ718" s="247" t="s">
        <v>946</v>
      </c>
      <c r="BA718" s="248">
        <v>0</v>
      </c>
      <c r="BB718" s="235"/>
      <c r="BC718" s="247" t="s">
        <v>1153</v>
      </c>
      <c r="BD718" s="247"/>
      <c r="BE718" s="247"/>
      <c r="BF718" s="247"/>
      <c r="BG718" s="247"/>
      <c r="BH718" s="247"/>
      <c r="BI718" s="247"/>
      <c r="BJ718" s="247"/>
      <c r="BK718" s="247"/>
      <c r="BL718" s="247"/>
      <c r="BM718" s="247"/>
      <c r="BN718" s="247"/>
      <c r="BO718" s="247"/>
      <c r="BP718" s="248"/>
    </row>
    <row r="719" spans="1:68" ht="14.25" customHeight="1">
      <c r="A719" s="233">
        <v>62</v>
      </c>
      <c r="B719" s="234">
        <v>404</v>
      </c>
      <c r="C719" s="244" t="s">
        <v>928</v>
      </c>
      <c r="D719" s="244" t="s">
        <v>969</v>
      </c>
      <c r="E719" s="244" t="s">
        <v>1156</v>
      </c>
      <c r="F719" s="245">
        <v>-40.5</v>
      </c>
      <c r="G719" s="245">
        <v>-35.700000000000003</v>
      </c>
      <c r="H719" s="245">
        <v>-22.9</v>
      </c>
      <c r="I719" s="245">
        <v>-8.3000000000000007</v>
      </c>
      <c r="J719" s="245">
        <v>4.7</v>
      </c>
      <c r="K719" s="245">
        <v>13.5</v>
      </c>
      <c r="L719" s="245">
        <v>16.3</v>
      </c>
      <c r="M719" s="245">
        <v>12.6</v>
      </c>
      <c r="N719" s="245">
        <v>3.9</v>
      </c>
      <c r="O719" s="245">
        <v>-8.6999999999999993</v>
      </c>
      <c r="P719" s="245">
        <v>-28.2</v>
      </c>
      <c r="Q719" s="245">
        <v>-38.9</v>
      </c>
      <c r="R719" s="246">
        <v>-11</v>
      </c>
      <c r="S719" s="233">
        <v>404</v>
      </c>
      <c r="T719" s="247" t="s">
        <v>1156</v>
      </c>
      <c r="U719" s="245">
        <v>-58</v>
      </c>
      <c r="V719" s="245">
        <v>-57</v>
      </c>
      <c r="W719" s="245">
        <v>-56</v>
      </c>
      <c r="X719" s="245">
        <v>-54</v>
      </c>
      <c r="Y719" s="245">
        <v>-45</v>
      </c>
      <c r="Z719" s="245">
        <v>-61</v>
      </c>
      <c r="AA719" s="245">
        <v>10.7</v>
      </c>
      <c r="AB719" s="245">
        <v>222</v>
      </c>
      <c r="AC719" s="245">
        <v>-24.5</v>
      </c>
      <c r="AD719" s="245">
        <v>268</v>
      </c>
      <c r="AE719" s="245">
        <v>-19.600000000000001</v>
      </c>
      <c r="AF719" s="245">
        <v>282</v>
      </c>
      <c r="AG719" s="245">
        <v>-18.100000000000001</v>
      </c>
      <c r="AH719" s="245">
        <v>73</v>
      </c>
      <c r="AI719" s="245">
        <v>72</v>
      </c>
      <c r="AJ719" s="245">
        <v>56</v>
      </c>
      <c r="AK719" s="245" t="s">
        <v>950</v>
      </c>
      <c r="AL719" s="245" t="s">
        <v>931</v>
      </c>
      <c r="AM719" s="246">
        <v>1.2</v>
      </c>
      <c r="AN719" s="235">
        <v>404</v>
      </c>
      <c r="AO719" s="247" t="s">
        <v>1157</v>
      </c>
      <c r="AP719" s="247">
        <v>980</v>
      </c>
      <c r="AQ719" s="247">
        <v>21.5</v>
      </c>
      <c r="AR719" s="247">
        <v>25.7</v>
      </c>
      <c r="AS719" s="247">
        <v>23.9</v>
      </c>
      <c r="AT719" s="247">
        <v>36</v>
      </c>
      <c r="AU719" s="247">
        <v>16.7</v>
      </c>
      <c r="AV719" s="247">
        <v>66</v>
      </c>
      <c r="AW719" s="247">
        <v>49</v>
      </c>
      <c r="AX719" s="247">
        <v>207</v>
      </c>
      <c r="AY719" s="247">
        <v>36</v>
      </c>
      <c r="AZ719" s="247" t="s">
        <v>959</v>
      </c>
      <c r="BA719" s="248" t="s">
        <v>934</v>
      </c>
      <c r="BB719" s="235">
        <v>368</v>
      </c>
      <c r="BC719" s="247" t="s">
        <v>1156</v>
      </c>
      <c r="BD719" s="247">
        <v>0.2</v>
      </c>
      <c r="BE719" s="247">
        <v>0.3</v>
      </c>
      <c r="BF719" s="247">
        <v>0.9</v>
      </c>
      <c r="BG719" s="247">
        <v>2.2000000000000002</v>
      </c>
      <c r="BH719" s="247">
        <v>4.7</v>
      </c>
      <c r="BI719" s="247">
        <v>9</v>
      </c>
      <c r="BJ719" s="247">
        <v>11.7</v>
      </c>
      <c r="BK719" s="247">
        <v>10.199999999999999</v>
      </c>
      <c r="BL719" s="247">
        <v>5.9</v>
      </c>
      <c r="BM719" s="247">
        <v>2.8</v>
      </c>
      <c r="BN719" s="247">
        <v>0.7</v>
      </c>
      <c r="BO719" s="247">
        <v>0.2</v>
      </c>
      <c r="BP719" s="248">
        <v>4.0999999999999996</v>
      </c>
    </row>
    <row r="720" spans="1:68" ht="14.25" customHeight="1">
      <c r="A720" s="233">
        <v>63</v>
      </c>
      <c r="B720" s="234">
        <v>324</v>
      </c>
      <c r="C720" s="244" t="s">
        <v>928</v>
      </c>
      <c r="D720" s="244" t="s">
        <v>1011</v>
      </c>
      <c r="E720" s="244" t="s">
        <v>1158</v>
      </c>
      <c r="F720" s="245">
        <v>-22.7</v>
      </c>
      <c r="G720" s="245">
        <v>-26.2</v>
      </c>
      <c r="H720" s="245">
        <v>-23.4</v>
      </c>
      <c r="I720" s="245">
        <v>-14.4</v>
      </c>
      <c r="J720" s="245">
        <v>-2</v>
      </c>
      <c r="K720" s="245">
        <v>8.6</v>
      </c>
      <c r="L720" s="245">
        <v>12.1</v>
      </c>
      <c r="M720" s="245">
        <v>9.5</v>
      </c>
      <c r="N720" s="245">
        <v>3.1</v>
      </c>
      <c r="O720" s="245">
        <v>-8.6999999999999993</v>
      </c>
      <c r="P720" s="245">
        <v>-18.7</v>
      </c>
      <c r="Q720" s="245">
        <v>-25.3</v>
      </c>
      <c r="R720" s="246">
        <v>-9</v>
      </c>
      <c r="S720" s="233">
        <v>324</v>
      </c>
      <c r="T720" s="247" t="s">
        <v>1159</v>
      </c>
      <c r="U720" s="245">
        <v>-50</v>
      </c>
      <c r="V720" s="245">
        <v>-48</v>
      </c>
      <c r="W720" s="245">
        <v>-45</v>
      </c>
      <c r="X720" s="245">
        <v>-43</v>
      </c>
      <c r="Y720" s="245">
        <v>-27</v>
      </c>
      <c r="Z720" s="245">
        <v>-53</v>
      </c>
      <c r="AA720" s="245">
        <v>9.5</v>
      </c>
      <c r="AB720" s="245">
        <v>209</v>
      </c>
      <c r="AC720" s="245">
        <v>-13.6</v>
      </c>
      <c r="AD720" s="245">
        <v>267</v>
      </c>
      <c r="AE720" s="245">
        <v>-9.6999999999999993</v>
      </c>
      <c r="AF720" s="245">
        <v>284</v>
      </c>
      <c r="AG720" s="245">
        <v>-8.6</v>
      </c>
      <c r="AH720" s="245">
        <v>84</v>
      </c>
      <c r="AI720" s="245">
        <v>83</v>
      </c>
      <c r="AJ720" s="245">
        <v>110</v>
      </c>
      <c r="AK720" s="245" t="s">
        <v>963</v>
      </c>
      <c r="AL720" s="245">
        <v>4.0999999999999996</v>
      </c>
      <c r="AM720" s="246">
        <v>3.5</v>
      </c>
      <c r="AN720" s="235">
        <v>324</v>
      </c>
      <c r="AO720" s="247" t="s">
        <v>1160</v>
      </c>
      <c r="AP720" s="247">
        <v>1005</v>
      </c>
      <c r="AQ720" s="247">
        <v>18.600000000000001</v>
      </c>
      <c r="AR720" s="247">
        <v>23.2</v>
      </c>
      <c r="AS720" s="247">
        <v>20.399999999999999</v>
      </c>
      <c r="AT720" s="247">
        <v>33</v>
      </c>
      <c r="AU720" s="247">
        <v>8.6</v>
      </c>
      <c r="AV720" s="247">
        <v>73</v>
      </c>
      <c r="AW720" s="247">
        <v>63</v>
      </c>
      <c r="AX720" s="247">
        <v>352</v>
      </c>
      <c r="AY720" s="247">
        <v>70</v>
      </c>
      <c r="AZ720" s="247" t="s">
        <v>1005</v>
      </c>
      <c r="BA720" s="248">
        <v>4.2</v>
      </c>
      <c r="BB720" s="235">
        <v>292</v>
      </c>
      <c r="BC720" s="247" t="s">
        <v>1158</v>
      </c>
      <c r="BD720" s="247">
        <v>1.2</v>
      </c>
      <c r="BE720" s="247">
        <v>1.3</v>
      </c>
      <c r="BF720" s="247">
        <v>2.1</v>
      </c>
      <c r="BG720" s="247">
        <v>3.8</v>
      </c>
      <c r="BH720" s="247">
        <v>5.7</v>
      </c>
      <c r="BI720" s="247">
        <v>9.6</v>
      </c>
      <c r="BJ720" s="247">
        <v>13.5</v>
      </c>
      <c r="BK720" s="247">
        <v>11.9</v>
      </c>
      <c r="BL720" s="247">
        <v>8.3000000000000007</v>
      </c>
      <c r="BM720" s="247">
        <v>4.5999999999999996</v>
      </c>
      <c r="BN720" s="247">
        <v>2.4</v>
      </c>
      <c r="BO720" s="247">
        <v>1.5</v>
      </c>
      <c r="BP720" s="248">
        <v>5.5</v>
      </c>
    </row>
    <row r="721" spans="1:68" ht="14.25" customHeight="1">
      <c r="A721" s="233">
        <v>64</v>
      </c>
      <c r="B721" s="234">
        <v>394</v>
      </c>
      <c r="C721" s="244" t="s">
        <v>928</v>
      </c>
      <c r="D721" s="244" t="s">
        <v>1161</v>
      </c>
      <c r="E721" s="244" t="s">
        <v>1162</v>
      </c>
      <c r="F721" s="245">
        <v>-22.3</v>
      </c>
      <c r="G721" s="245">
        <v>-19.8</v>
      </c>
      <c r="H721" s="245">
        <v>-13.4</v>
      </c>
      <c r="I721" s="245">
        <v>-4.3</v>
      </c>
      <c r="J721" s="245">
        <v>2.9</v>
      </c>
      <c r="K721" s="245">
        <v>11.2</v>
      </c>
      <c r="L721" s="245">
        <v>15.9</v>
      </c>
      <c r="M721" s="245">
        <v>13</v>
      </c>
      <c r="N721" s="245">
        <v>6.8</v>
      </c>
      <c r="O721" s="245">
        <v>-2.8</v>
      </c>
      <c r="P721" s="245">
        <v>-13.3</v>
      </c>
      <c r="Q721" s="245">
        <v>-19.7</v>
      </c>
      <c r="R721" s="246">
        <v>-3.8</v>
      </c>
      <c r="S721" s="233">
        <v>394</v>
      </c>
      <c r="T721" s="247" t="s">
        <v>1163</v>
      </c>
      <c r="U721" s="245">
        <v>-52</v>
      </c>
      <c r="V721" s="245">
        <v>-51</v>
      </c>
      <c r="W721" s="245">
        <v>-51</v>
      </c>
      <c r="X721" s="245">
        <v>-50</v>
      </c>
      <c r="Y721" s="245">
        <v>-37</v>
      </c>
      <c r="Z721" s="245">
        <v>-53</v>
      </c>
      <c r="AA721" s="245">
        <v>11.6</v>
      </c>
      <c r="AB721" s="245">
        <v>236</v>
      </c>
      <c r="AC721" s="245">
        <v>-18.2</v>
      </c>
      <c r="AD721" s="245">
        <v>296</v>
      </c>
      <c r="AE721" s="245">
        <v>-13.6</v>
      </c>
      <c r="AF721" s="245">
        <v>314</v>
      </c>
      <c r="AG721" s="245">
        <v>-12.3</v>
      </c>
      <c r="AH721" s="245">
        <v>77</v>
      </c>
      <c r="AI721" s="245">
        <v>76</v>
      </c>
      <c r="AJ721" s="245">
        <v>113</v>
      </c>
      <c r="AK721" s="245" t="s">
        <v>950</v>
      </c>
      <c r="AL721" s="245" t="s">
        <v>931</v>
      </c>
      <c r="AM721" s="246">
        <v>2.2000000000000002</v>
      </c>
      <c r="AN721" s="235">
        <v>394</v>
      </c>
      <c r="AO721" s="247" t="s">
        <v>1164</v>
      </c>
      <c r="AP721" s="247">
        <v>1010</v>
      </c>
      <c r="AQ721" s="247">
        <v>15</v>
      </c>
      <c r="AR721" s="247">
        <v>19</v>
      </c>
      <c r="AS721" s="247">
        <v>18.3</v>
      </c>
      <c r="AT721" s="247">
        <v>31</v>
      </c>
      <c r="AU721" s="247">
        <v>12.9</v>
      </c>
      <c r="AV721" s="247">
        <v>75</v>
      </c>
      <c r="AW721" s="247">
        <v>62</v>
      </c>
      <c r="AX721" s="247">
        <v>240</v>
      </c>
      <c r="AY721" s="247">
        <v>53</v>
      </c>
      <c r="AZ721" s="247" t="s">
        <v>959</v>
      </c>
      <c r="BA721" s="248" t="s">
        <v>934</v>
      </c>
      <c r="BB721" s="235">
        <v>358</v>
      </c>
      <c r="BC721" s="247" t="s">
        <v>1162</v>
      </c>
      <c r="BD721" s="247">
        <v>1.3</v>
      </c>
      <c r="BE721" s="247">
        <v>0.9</v>
      </c>
      <c r="BF721" s="247">
        <v>1</v>
      </c>
      <c r="BG721" s="247">
        <v>1.9</v>
      </c>
      <c r="BH721" s="247">
        <v>4.3</v>
      </c>
      <c r="BI721" s="247">
        <v>7.6</v>
      </c>
      <c r="BJ721" s="247">
        <v>10.3</v>
      </c>
      <c r="BK721" s="247">
        <v>9.5</v>
      </c>
      <c r="BL721" s="247">
        <v>6.1</v>
      </c>
      <c r="BM721" s="247">
        <v>2.9</v>
      </c>
      <c r="BN721" s="247">
        <v>1.6</v>
      </c>
      <c r="BO721" s="247">
        <v>1</v>
      </c>
      <c r="BP721" s="248">
        <v>4</v>
      </c>
    </row>
    <row r="722" spans="1:68" ht="14.25" customHeight="1">
      <c r="A722" s="233">
        <v>65</v>
      </c>
      <c r="B722" s="234">
        <v>5</v>
      </c>
      <c r="C722" s="244" t="s">
        <v>928</v>
      </c>
      <c r="D722" s="244" t="s">
        <v>974</v>
      </c>
      <c r="E722" s="244" t="s">
        <v>148</v>
      </c>
      <c r="F722" s="245">
        <v>-17.7</v>
      </c>
      <c r="G722" s="245">
        <v>-16.5</v>
      </c>
      <c r="H722" s="245">
        <v>-9.1999999999999993</v>
      </c>
      <c r="I722" s="245">
        <v>2.2999999999999998</v>
      </c>
      <c r="J722" s="245">
        <v>11.3</v>
      </c>
      <c r="K722" s="245">
        <v>17.2</v>
      </c>
      <c r="L722" s="245">
        <v>19.2</v>
      </c>
      <c r="M722" s="245">
        <v>16.3</v>
      </c>
      <c r="N722" s="245">
        <v>10.5</v>
      </c>
      <c r="O722" s="245">
        <v>2.6</v>
      </c>
      <c r="P722" s="245">
        <v>-8.1</v>
      </c>
      <c r="Q722" s="245">
        <v>-15.1</v>
      </c>
      <c r="R722" s="246">
        <v>1.1000000000000001</v>
      </c>
      <c r="S722" s="233">
        <v>5</v>
      </c>
      <c r="T722" s="247" t="s">
        <v>1165</v>
      </c>
      <c r="U722" s="245">
        <v>-45</v>
      </c>
      <c r="V722" s="245">
        <v>-43</v>
      </c>
      <c r="W722" s="245">
        <v>-41</v>
      </c>
      <c r="X722" s="245">
        <v>-38</v>
      </c>
      <c r="Y722" s="245">
        <v>-23</v>
      </c>
      <c r="Z722" s="245">
        <v>-51</v>
      </c>
      <c r="AA722" s="245">
        <v>11</v>
      </c>
      <c r="AB722" s="245">
        <v>168</v>
      </c>
      <c r="AC722" s="245">
        <v>-11.6</v>
      </c>
      <c r="AD722" s="245">
        <v>222</v>
      </c>
      <c r="AE722" s="245">
        <v>-7.8</v>
      </c>
      <c r="AF722" s="245">
        <v>236</v>
      </c>
      <c r="AG722" s="245">
        <v>-6.7</v>
      </c>
      <c r="AH722" s="245">
        <v>81</v>
      </c>
      <c r="AI722" s="245">
        <v>79</v>
      </c>
      <c r="AJ722" s="245">
        <v>165</v>
      </c>
      <c r="AK722" s="245" t="s">
        <v>971</v>
      </c>
      <c r="AL722" s="245">
        <v>4.7</v>
      </c>
      <c r="AM722" s="246">
        <v>3.7</v>
      </c>
      <c r="AN722" s="235">
        <v>5</v>
      </c>
      <c r="AO722" s="247" t="s">
        <v>1166</v>
      </c>
      <c r="AP722" s="247">
        <v>985</v>
      </c>
      <c r="AQ722" s="247">
        <v>23.4</v>
      </c>
      <c r="AR722" s="247">
        <v>27.6</v>
      </c>
      <c r="AS722" s="247">
        <v>25.9</v>
      </c>
      <c r="AT722" s="247">
        <v>39</v>
      </c>
      <c r="AU722" s="247">
        <v>13.3</v>
      </c>
      <c r="AV722" s="247">
        <v>74</v>
      </c>
      <c r="AW722" s="247">
        <v>55</v>
      </c>
      <c r="AX722" s="247">
        <v>404</v>
      </c>
      <c r="AY722" s="247">
        <v>59</v>
      </c>
      <c r="AZ722" s="247" t="s">
        <v>978</v>
      </c>
      <c r="BA722" s="248">
        <v>3.1</v>
      </c>
      <c r="BB722" s="235">
        <v>4</v>
      </c>
      <c r="BC722" s="247" t="s">
        <v>148</v>
      </c>
      <c r="BD722" s="247">
        <v>1.6</v>
      </c>
      <c r="BE722" s="247">
        <v>1.7</v>
      </c>
      <c r="BF722" s="247">
        <v>2.9</v>
      </c>
      <c r="BG722" s="247">
        <v>5.5</v>
      </c>
      <c r="BH722" s="247">
        <v>8.1</v>
      </c>
      <c r="BI722" s="247">
        <v>13</v>
      </c>
      <c r="BJ722" s="247">
        <v>15.9</v>
      </c>
      <c r="BK722" s="247">
        <v>13.7</v>
      </c>
      <c r="BL722" s="247">
        <v>9.3000000000000007</v>
      </c>
      <c r="BM722" s="247">
        <v>5.7</v>
      </c>
      <c r="BN722" s="247">
        <v>3.2</v>
      </c>
      <c r="BO722" s="247">
        <v>2</v>
      </c>
      <c r="BP722" s="248">
        <v>6.9</v>
      </c>
    </row>
    <row r="723" spans="1:68" ht="14.25" customHeight="1">
      <c r="A723" s="233">
        <v>66</v>
      </c>
      <c r="B723" s="234">
        <v>347</v>
      </c>
      <c r="C723" s="244" t="s">
        <v>928</v>
      </c>
      <c r="D723" s="244" t="s">
        <v>1081</v>
      </c>
      <c r="E723" s="244" t="s">
        <v>1167</v>
      </c>
      <c r="F723" s="245">
        <v>-22.4</v>
      </c>
      <c r="G723" s="245">
        <v>-17.399999999999999</v>
      </c>
      <c r="H723" s="245">
        <v>-8.1</v>
      </c>
      <c r="I723" s="245">
        <v>4.0999999999999996</v>
      </c>
      <c r="J723" s="245">
        <v>11.7</v>
      </c>
      <c r="K723" s="245">
        <v>17.399999999999999</v>
      </c>
      <c r="L723" s="245">
        <v>21</v>
      </c>
      <c r="M723" s="245">
        <v>19.899999999999999</v>
      </c>
      <c r="N723" s="245">
        <v>13.3</v>
      </c>
      <c r="O723" s="245">
        <v>4.5</v>
      </c>
      <c r="P723" s="245">
        <v>-7.6</v>
      </c>
      <c r="Q723" s="245">
        <v>-18.3</v>
      </c>
      <c r="R723" s="246">
        <v>1.5</v>
      </c>
      <c r="S723" s="233">
        <v>347</v>
      </c>
      <c r="T723" s="247" t="s">
        <v>1168</v>
      </c>
      <c r="U723" s="245">
        <v>-38</v>
      </c>
      <c r="V723" s="245">
        <v>-34</v>
      </c>
      <c r="W723" s="245">
        <v>-35</v>
      </c>
      <c r="X723" s="245">
        <v>-32</v>
      </c>
      <c r="Y723" s="245">
        <v>-27</v>
      </c>
      <c r="Z723" s="245">
        <v>-46</v>
      </c>
      <c r="AA723" s="245">
        <v>12.8</v>
      </c>
      <c r="AB723" s="245">
        <v>159</v>
      </c>
      <c r="AC723" s="245">
        <v>-13.3</v>
      </c>
      <c r="AD723" s="245">
        <v>208</v>
      </c>
      <c r="AE723" s="245">
        <v>-9.1</v>
      </c>
      <c r="AF723" s="245">
        <v>223</v>
      </c>
      <c r="AG723" s="245">
        <v>-7.8</v>
      </c>
      <c r="AH723" s="245">
        <v>76</v>
      </c>
      <c r="AI723" s="245">
        <v>66</v>
      </c>
      <c r="AJ723" s="245">
        <v>96</v>
      </c>
      <c r="AK723" s="245" t="s">
        <v>990</v>
      </c>
      <c r="AL723" s="245">
        <v>3.2</v>
      </c>
      <c r="AM723" s="246">
        <v>2</v>
      </c>
      <c r="AN723" s="235">
        <v>347</v>
      </c>
      <c r="AO723" s="247" t="s">
        <v>1169</v>
      </c>
      <c r="AP723" s="247">
        <v>1000</v>
      </c>
      <c r="AQ723" s="247">
        <v>24.8</v>
      </c>
      <c r="AR723" s="247">
        <v>28.8</v>
      </c>
      <c r="AS723" s="247">
        <v>27.2</v>
      </c>
      <c r="AT723" s="247">
        <v>38</v>
      </c>
      <c r="AU723" s="247">
        <v>11</v>
      </c>
      <c r="AV723" s="247">
        <v>80</v>
      </c>
      <c r="AW723" s="247">
        <v>66</v>
      </c>
      <c r="AX723" s="247">
        <v>597</v>
      </c>
      <c r="AY723" s="247">
        <v>130</v>
      </c>
      <c r="AZ723" s="247" t="s">
        <v>946</v>
      </c>
      <c r="BA723" s="248">
        <v>0</v>
      </c>
      <c r="BB723" s="235">
        <v>312</v>
      </c>
      <c r="BC723" s="247" t="s">
        <v>1167</v>
      </c>
      <c r="BD723" s="247">
        <v>0.9</v>
      </c>
      <c r="BE723" s="247">
        <v>1.3</v>
      </c>
      <c r="BF723" s="247">
        <v>2.7</v>
      </c>
      <c r="BG723" s="247">
        <v>5.0999999999999996</v>
      </c>
      <c r="BH723" s="247">
        <v>8.6</v>
      </c>
      <c r="BI723" s="247">
        <v>14.7</v>
      </c>
      <c r="BJ723" s="247">
        <v>20</v>
      </c>
      <c r="BK723" s="247">
        <v>19.100000000000001</v>
      </c>
      <c r="BL723" s="247">
        <v>12</v>
      </c>
      <c r="BM723" s="247">
        <v>6</v>
      </c>
      <c r="BN723" s="247">
        <v>2.8</v>
      </c>
      <c r="BO723" s="247">
        <v>1.3</v>
      </c>
      <c r="BP723" s="248">
        <v>7.9</v>
      </c>
    </row>
    <row r="724" spans="1:68" ht="14.25" customHeight="1">
      <c r="A724" s="233">
        <v>67</v>
      </c>
      <c r="B724" s="234">
        <v>348</v>
      </c>
      <c r="C724" s="244" t="s">
        <v>928</v>
      </c>
      <c r="D724" s="244" t="s">
        <v>1081</v>
      </c>
      <c r="E724" s="244" t="s">
        <v>1170</v>
      </c>
      <c r="F724" s="245">
        <v>-22</v>
      </c>
      <c r="G724" s="245">
        <v>-16.600000000000001</v>
      </c>
      <c r="H724" s="245">
        <v>-8.1999999999999993</v>
      </c>
      <c r="I724" s="245">
        <v>2.7</v>
      </c>
      <c r="J724" s="245">
        <v>10.199999999999999</v>
      </c>
      <c r="K724" s="245">
        <v>16.5</v>
      </c>
      <c r="L724" s="245">
        <v>20.100000000000001</v>
      </c>
      <c r="M724" s="245">
        <v>18.5</v>
      </c>
      <c r="N724" s="245">
        <v>12</v>
      </c>
      <c r="O724" s="245">
        <v>2.6</v>
      </c>
      <c r="P724" s="245">
        <v>-10.1</v>
      </c>
      <c r="Q724" s="245">
        <v>-19.5</v>
      </c>
      <c r="R724" s="246">
        <v>0.5</v>
      </c>
      <c r="S724" s="233">
        <v>348</v>
      </c>
      <c r="T724" s="247" t="s">
        <v>1171</v>
      </c>
      <c r="U724" s="245">
        <v>-37</v>
      </c>
      <c r="V724" s="245">
        <v>-35</v>
      </c>
      <c r="W724" s="245">
        <v>-34</v>
      </c>
      <c r="X724" s="245">
        <v>-31</v>
      </c>
      <c r="Y724" s="245">
        <v>-27</v>
      </c>
      <c r="Z724" s="245">
        <v>-43</v>
      </c>
      <c r="AA724" s="245">
        <v>11</v>
      </c>
      <c r="AB724" s="245">
        <v>166</v>
      </c>
      <c r="AC724" s="245">
        <v>-13.4</v>
      </c>
      <c r="AD724" s="245">
        <v>220</v>
      </c>
      <c r="AE724" s="245">
        <v>-9.1</v>
      </c>
      <c r="AF724" s="245">
        <v>234</v>
      </c>
      <c r="AG724" s="245">
        <v>-7.9</v>
      </c>
      <c r="AH724" s="245">
        <v>70</v>
      </c>
      <c r="AI724" s="245">
        <v>64</v>
      </c>
      <c r="AJ724" s="245">
        <v>85</v>
      </c>
      <c r="AK724" s="245" t="s">
        <v>950</v>
      </c>
      <c r="AL724" s="245" t="s">
        <v>931</v>
      </c>
      <c r="AM724" s="246" t="s">
        <v>931</v>
      </c>
      <c r="AN724" s="235">
        <v>348</v>
      </c>
      <c r="AO724" s="247" t="s">
        <v>1172</v>
      </c>
      <c r="AP724" s="247">
        <v>990</v>
      </c>
      <c r="AQ724" s="247">
        <v>23.7</v>
      </c>
      <c r="AR724" s="247">
        <v>27.8</v>
      </c>
      <c r="AS724" s="247">
        <v>26.1</v>
      </c>
      <c r="AT724" s="247">
        <v>40</v>
      </c>
      <c r="AU724" s="247">
        <v>11.1</v>
      </c>
      <c r="AV724" s="247">
        <v>82</v>
      </c>
      <c r="AW724" s="247">
        <v>66</v>
      </c>
      <c r="AX724" s="247">
        <v>733</v>
      </c>
      <c r="AY724" s="247">
        <v>153</v>
      </c>
      <c r="AZ724" s="247" t="s">
        <v>1038</v>
      </c>
      <c r="BA724" s="248" t="s">
        <v>934</v>
      </c>
      <c r="BB724" s="235">
        <v>313</v>
      </c>
      <c r="BC724" s="247" t="s">
        <v>1170</v>
      </c>
      <c r="BD724" s="247">
        <v>0.8</v>
      </c>
      <c r="BE724" s="247">
        <v>1.1000000000000001</v>
      </c>
      <c r="BF724" s="247">
        <v>2.2000000000000002</v>
      </c>
      <c r="BG724" s="247">
        <v>4.4000000000000004</v>
      </c>
      <c r="BH724" s="247">
        <v>7.7</v>
      </c>
      <c r="BI724" s="247">
        <v>13.8</v>
      </c>
      <c r="BJ724" s="247">
        <v>18.899999999999999</v>
      </c>
      <c r="BK724" s="247">
        <v>17.3</v>
      </c>
      <c r="BL724" s="247">
        <v>10.7</v>
      </c>
      <c r="BM724" s="247">
        <v>4.9000000000000004</v>
      </c>
      <c r="BN724" s="247">
        <v>2.1</v>
      </c>
      <c r="BO724" s="247">
        <v>1</v>
      </c>
      <c r="BP724" s="248">
        <v>7.1</v>
      </c>
    </row>
    <row r="725" spans="1:68" ht="14.25" customHeight="1">
      <c r="A725" s="233">
        <v>68</v>
      </c>
      <c r="B725" s="234">
        <v>349</v>
      </c>
      <c r="C725" s="244" t="s">
        <v>928</v>
      </c>
      <c r="D725" s="244" t="s">
        <v>1081</v>
      </c>
      <c r="E725" s="244" t="s">
        <v>1173</v>
      </c>
      <c r="F725" s="245">
        <v>-22.6</v>
      </c>
      <c r="G725" s="245">
        <v>-17.5</v>
      </c>
      <c r="H725" s="245">
        <v>-9</v>
      </c>
      <c r="I725" s="245">
        <v>3</v>
      </c>
      <c r="J725" s="245">
        <v>10.7</v>
      </c>
      <c r="K725" s="245">
        <v>16.7</v>
      </c>
      <c r="L725" s="245">
        <v>20.3</v>
      </c>
      <c r="M725" s="245">
        <v>19</v>
      </c>
      <c r="N725" s="245">
        <v>12.4</v>
      </c>
      <c r="O725" s="245">
        <v>3</v>
      </c>
      <c r="P725" s="245">
        <v>-9.8000000000000007</v>
      </c>
      <c r="Q725" s="245">
        <v>-19.600000000000001</v>
      </c>
      <c r="R725" s="246">
        <v>0.6</v>
      </c>
      <c r="S725" s="233">
        <v>349</v>
      </c>
      <c r="T725" s="247" t="s">
        <v>1174</v>
      </c>
      <c r="U725" s="245">
        <v>-38</v>
      </c>
      <c r="V725" s="245">
        <v>-34</v>
      </c>
      <c r="W725" s="245">
        <v>-35</v>
      </c>
      <c r="X725" s="245">
        <v>-32</v>
      </c>
      <c r="Y725" s="245">
        <v>-28</v>
      </c>
      <c r="Z725" s="245">
        <v>-43</v>
      </c>
      <c r="AA725" s="245">
        <v>14.9</v>
      </c>
      <c r="AB725" s="245">
        <v>169</v>
      </c>
      <c r="AC725" s="245">
        <v>-14.8</v>
      </c>
      <c r="AD725" s="245">
        <v>219</v>
      </c>
      <c r="AE725" s="245">
        <v>-10.4</v>
      </c>
      <c r="AF725" s="245">
        <v>234</v>
      </c>
      <c r="AG725" s="245">
        <v>-9.1999999999999993</v>
      </c>
      <c r="AH725" s="245">
        <v>74</v>
      </c>
      <c r="AI725" s="245">
        <v>65</v>
      </c>
      <c r="AJ725" s="245">
        <v>84</v>
      </c>
      <c r="AK725" s="245" t="s">
        <v>950</v>
      </c>
      <c r="AL725" s="245" t="s">
        <v>931</v>
      </c>
      <c r="AM725" s="246" t="s">
        <v>931</v>
      </c>
      <c r="AN725" s="235">
        <v>349</v>
      </c>
      <c r="AO725" s="247" t="s">
        <v>1175</v>
      </c>
      <c r="AP725" s="247">
        <v>995</v>
      </c>
      <c r="AQ725" s="247">
        <v>23.6</v>
      </c>
      <c r="AR725" s="247">
        <v>27.7</v>
      </c>
      <c r="AS725" s="247">
        <v>26</v>
      </c>
      <c r="AT725" s="247">
        <v>39</v>
      </c>
      <c r="AU725" s="247">
        <v>11.2</v>
      </c>
      <c r="AV725" s="247">
        <v>84</v>
      </c>
      <c r="AW725" s="247">
        <v>69</v>
      </c>
      <c r="AX725" s="247">
        <v>746</v>
      </c>
      <c r="AY725" s="247" t="s">
        <v>965</v>
      </c>
      <c r="AZ725" s="247" t="s">
        <v>940</v>
      </c>
      <c r="BA725" s="248" t="s">
        <v>934</v>
      </c>
      <c r="BB725" s="235">
        <v>314</v>
      </c>
      <c r="BC725" s="247" t="s">
        <v>1173</v>
      </c>
      <c r="BD725" s="247">
        <v>0.7</v>
      </c>
      <c r="BE725" s="247">
        <v>1</v>
      </c>
      <c r="BF725" s="247">
        <v>2.2999999999999998</v>
      </c>
      <c r="BG725" s="247">
        <v>4.9000000000000004</v>
      </c>
      <c r="BH725" s="247">
        <v>8.4</v>
      </c>
      <c r="BI725" s="247">
        <v>14.8</v>
      </c>
      <c r="BJ725" s="247">
        <v>20.100000000000001</v>
      </c>
      <c r="BK725" s="247">
        <v>18.899999999999999</v>
      </c>
      <c r="BL725" s="247">
        <v>11.7</v>
      </c>
      <c r="BM725" s="247">
        <v>5.3</v>
      </c>
      <c r="BN725" s="247">
        <v>2.2000000000000002</v>
      </c>
      <c r="BO725" s="247">
        <v>1</v>
      </c>
      <c r="BP725" s="248">
        <v>7.6</v>
      </c>
    </row>
    <row r="726" spans="1:68" ht="14.25" customHeight="1">
      <c r="A726" s="233">
        <v>69</v>
      </c>
      <c r="B726" s="234">
        <v>251</v>
      </c>
      <c r="C726" s="244" t="s">
        <v>928</v>
      </c>
      <c r="D726" s="244" t="s">
        <v>1176</v>
      </c>
      <c r="E726" s="244" t="s">
        <v>1177</v>
      </c>
      <c r="F726" s="245">
        <v>-17.5</v>
      </c>
      <c r="G726" s="245">
        <v>-15.4</v>
      </c>
      <c r="H726" s="245">
        <v>-8.9</v>
      </c>
      <c r="I726" s="245">
        <v>0.5</v>
      </c>
      <c r="J726" s="245">
        <v>6.9</v>
      </c>
      <c r="K726" s="245">
        <v>12.7</v>
      </c>
      <c r="L726" s="245">
        <v>15.2</v>
      </c>
      <c r="M726" s="245">
        <v>12.7</v>
      </c>
      <c r="N726" s="245">
        <v>6.9</v>
      </c>
      <c r="O726" s="245">
        <v>-1.3</v>
      </c>
      <c r="P726" s="245">
        <v>-9.1999999999999993</v>
      </c>
      <c r="Q726" s="245">
        <v>-15.4</v>
      </c>
      <c r="R726" s="246">
        <v>-1.1000000000000001</v>
      </c>
      <c r="S726" s="233">
        <v>251</v>
      </c>
      <c r="T726" s="247" t="s">
        <v>1178</v>
      </c>
      <c r="U726" s="245">
        <v>-44</v>
      </c>
      <c r="V726" s="245">
        <v>-40</v>
      </c>
      <c r="W726" s="245">
        <v>-39</v>
      </c>
      <c r="X726" s="245">
        <v>-36</v>
      </c>
      <c r="Y726" s="245">
        <v>-23</v>
      </c>
      <c r="Z726" s="245">
        <v>-53</v>
      </c>
      <c r="AA726" s="245">
        <v>7.2</v>
      </c>
      <c r="AB726" s="245">
        <v>185</v>
      </c>
      <c r="AC726" s="245">
        <v>-10.9</v>
      </c>
      <c r="AD726" s="245">
        <v>254</v>
      </c>
      <c r="AE726" s="245">
        <v>-6.8</v>
      </c>
      <c r="AF726" s="245">
        <v>275</v>
      </c>
      <c r="AG726" s="245">
        <v>-5.6</v>
      </c>
      <c r="AH726" s="245">
        <v>86</v>
      </c>
      <c r="AI726" s="245">
        <v>83</v>
      </c>
      <c r="AJ726" s="245">
        <v>267</v>
      </c>
      <c r="AK726" s="245" t="s">
        <v>971</v>
      </c>
      <c r="AL726" s="245">
        <v>3.5</v>
      </c>
      <c r="AM726" s="246">
        <v>3</v>
      </c>
      <c r="AN726" s="235">
        <v>251</v>
      </c>
      <c r="AO726" s="247" t="s">
        <v>1179</v>
      </c>
      <c r="AP726" s="247">
        <v>955</v>
      </c>
      <c r="AQ726" s="247">
        <v>19</v>
      </c>
      <c r="AR726" s="247">
        <v>23.2</v>
      </c>
      <c r="AS726" s="247">
        <v>20.9</v>
      </c>
      <c r="AT726" s="247">
        <v>35</v>
      </c>
      <c r="AU726" s="247">
        <v>10.7</v>
      </c>
      <c r="AV726" s="247">
        <v>73</v>
      </c>
      <c r="AW726" s="247">
        <v>62</v>
      </c>
      <c r="AX726" s="247">
        <v>549</v>
      </c>
      <c r="AY726" s="247">
        <v>82</v>
      </c>
      <c r="AZ726" s="247" t="s">
        <v>952</v>
      </c>
      <c r="BA726" s="248">
        <v>0</v>
      </c>
      <c r="BB726" s="235">
        <v>222</v>
      </c>
      <c r="BC726" s="247" t="s">
        <v>1177</v>
      </c>
      <c r="BD726" s="247">
        <v>1.7</v>
      </c>
      <c r="BE726" s="247">
        <v>1.7</v>
      </c>
      <c r="BF726" s="247">
        <v>2.6</v>
      </c>
      <c r="BG726" s="247">
        <v>4.5999999999999996</v>
      </c>
      <c r="BH726" s="247">
        <v>6.6</v>
      </c>
      <c r="BI726" s="247">
        <v>10.1</v>
      </c>
      <c r="BJ726" s="247">
        <v>12.7</v>
      </c>
      <c r="BK726" s="247">
        <v>11.6</v>
      </c>
      <c r="BL726" s="247">
        <v>8.4</v>
      </c>
      <c r="BM726" s="247">
        <v>5</v>
      </c>
      <c r="BN726" s="247">
        <v>3.1</v>
      </c>
      <c r="BO726" s="247">
        <v>2.1</v>
      </c>
      <c r="BP726" s="248">
        <v>5.9</v>
      </c>
    </row>
    <row r="727" spans="1:68" ht="14.25" customHeight="1">
      <c r="A727" s="233">
        <v>70</v>
      </c>
      <c r="B727" s="234">
        <v>548</v>
      </c>
      <c r="C727" s="244" t="s">
        <v>1180</v>
      </c>
      <c r="D727" s="244" t="s">
        <v>1181</v>
      </c>
      <c r="E727" s="244" t="s">
        <v>1182</v>
      </c>
      <c r="F727" s="245">
        <v>-5.6</v>
      </c>
      <c r="G727" s="245">
        <v>-3.2</v>
      </c>
      <c r="H727" s="245">
        <v>3.8</v>
      </c>
      <c r="I727" s="245">
        <v>11.4</v>
      </c>
      <c r="J727" s="245">
        <v>16.899999999999999</v>
      </c>
      <c r="K727" s="245">
        <v>21.3</v>
      </c>
      <c r="L727" s="245">
        <v>24.1</v>
      </c>
      <c r="M727" s="245">
        <v>22.6</v>
      </c>
      <c r="N727" s="245">
        <v>17.3</v>
      </c>
      <c r="O727" s="245">
        <v>10.1</v>
      </c>
      <c r="P727" s="245">
        <v>2.2000000000000002</v>
      </c>
      <c r="Q727" s="245">
        <v>-2.9</v>
      </c>
      <c r="R727" s="246">
        <v>9.8000000000000007</v>
      </c>
      <c r="S727" s="233">
        <v>548</v>
      </c>
      <c r="T727" s="247" t="s">
        <v>1183</v>
      </c>
      <c r="U727" s="245">
        <v>-28</v>
      </c>
      <c r="V727" s="245">
        <v>-27</v>
      </c>
      <c r="W727" s="245">
        <v>-24</v>
      </c>
      <c r="X727" s="245">
        <v>-23</v>
      </c>
      <c r="Y727" s="245" t="s">
        <v>956</v>
      </c>
      <c r="Z727" s="245" t="s">
        <v>931</v>
      </c>
      <c r="AA727" s="245">
        <v>10.6</v>
      </c>
      <c r="AB727" s="245" t="s">
        <v>1018</v>
      </c>
      <c r="AC727" s="245" t="s">
        <v>958</v>
      </c>
      <c r="AD727" s="245" t="s">
        <v>1018</v>
      </c>
      <c r="AE727" s="245" t="s">
        <v>931</v>
      </c>
      <c r="AF727" s="245" t="s">
        <v>933</v>
      </c>
      <c r="AG727" s="245" t="s">
        <v>931</v>
      </c>
      <c r="AH727" s="245">
        <v>71</v>
      </c>
      <c r="AI727" s="245">
        <v>63</v>
      </c>
      <c r="AJ727" s="245">
        <v>184</v>
      </c>
      <c r="AK727" s="245" t="s">
        <v>950</v>
      </c>
      <c r="AL727" s="245">
        <v>2.4</v>
      </c>
      <c r="AM727" s="246" t="s">
        <v>931</v>
      </c>
      <c r="AN727" s="235">
        <v>548</v>
      </c>
      <c r="AO727" s="247" t="s">
        <v>1184</v>
      </c>
      <c r="AP727" s="247" t="s">
        <v>965</v>
      </c>
      <c r="AQ727" s="247" t="s">
        <v>958</v>
      </c>
      <c r="AR727" s="247" t="s">
        <v>931</v>
      </c>
      <c r="AS727" s="247" t="s">
        <v>958</v>
      </c>
      <c r="AT727" s="247">
        <v>42</v>
      </c>
      <c r="AU727" s="247">
        <v>14.2</v>
      </c>
      <c r="AV727" s="247">
        <v>44</v>
      </c>
      <c r="AW727" s="247">
        <v>31</v>
      </c>
      <c r="AX727" s="247">
        <v>287</v>
      </c>
      <c r="AY727" s="247">
        <v>70</v>
      </c>
      <c r="AZ727" s="247" t="s">
        <v>952</v>
      </c>
      <c r="BA727" s="248">
        <v>1.7</v>
      </c>
      <c r="BB727" s="235"/>
      <c r="BC727" s="247" t="s">
        <v>1183</v>
      </c>
      <c r="BD727" s="247"/>
      <c r="BE727" s="247"/>
      <c r="BF727" s="247"/>
      <c r="BG727" s="247"/>
      <c r="BH727" s="247"/>
      <c r="BI727" s="247"/>
      <c r="BJ727" s="247"/>
      <c r="BK727" s="247"/>
      <c r="BL727" s="247"/>
      <c r="BM727" s="247"/>
      <c r="BN727" s="247"/>
      <c r="BO727" s="247"/>
      <c r="BP727" s="248"/>
    </row>
    <row r="728" spans="1:68" ht="14.25" customHeight="1">
      <c r="A728" s="233">
        <v>71</v>
      </c>
      <c r="B728" s="234">
        <v>16</v>
      </c>
      <c r="C728" s="244" t="s">
        <v>928</v>
      </c>
      <c r="D728" s="244" t="s">
        <v>1046</v>
      </c>
      <c r="E728" s="244" t="s">
        <v>149</v>
      </c>
      <c r="F728" s="245">
        <v>-24.1</v>
      </c>
      <c r="G728" s="245">
        <v>-18.7</v>
      </c>
      <c r="H728" s="245">
        <v>-9.1</v>
      </c>
      <c r="I728" s="245">
        <v>2.7</v>
      </c>
      <c r="J728" s="245">
        <v>11.1</v>
      </c>
      <c r="K728" s="245">
        <v>17.899999999999999</v>
      </c>
      <c r="L728" s="245">
        <v>21.4</v>
      </c>
      <c r="M728" s="245">
        <v>19.100000000000001</v>
      </c>
      <c r="N728" s="245">
        <v>12.2</v>
      </c>
      <c r="O728" s="245">
        <v>2.2000000000000002</v>
      </c>
      <c r="P728" s="245">
        <v>-11.5</v>
      </c>
      <c r="Q728" s="245">
        <v>-21.8</v>
      </c>
      <c r="R728" s="246">
        <v>0.1</v>
      </c>
      <c r="S728" s="233">
        <v>16</v>
      </c>
      <c r="T728" s="247" t="s">
        <v>1185</v>
      </c>
      <c r="U728" s="245">
        <v>-38</v>
      </c>
      <c r="V728" s="245">
        <v>-37</v>
      </c>
      <c r="W728" s="245">
        <v>-36</v>
      </c>
      <c r="X728" s="245">
        <v>-34</v>
      </c>
      <c r="Y728" s="245">
        <v>-29</v>
      </c>
      <c r="Z728" s="245">
        <v>-45</v>
      </c>
      <c r="AA728" s="245">
        <v>10.5</v>
      </c>
      <c r="AB728" s="245">
        <v>170</v>
      </c>
      <c r="AC728" s="245">
        <v>-14.8</v>
      </c>
      <c r="AD728" s="245">
        <v>218</v>
      </c>
      <c r="AE728" s="245">
        <v>-10.6</v>
      </c>
      <c r="AF728" s="245">
        <v>232</v>
      </c>
      <c r="AG728" s="245">
        <v>-9.4</v>
      </c>
      <c r="AH728" s="245">
        <v>72</v>
      </c>
      <c r="AI728" s="245">
        <v>64</v>
      </c>
      <c r="AJ728" s="245">
        <v>47</v>
      </c>
      <c r="AK728" s="245" t="s">
        <v>944</v>
      </c>
      <c r="AL728" s="245">
        <v>3.4</v>
      </c>
      <c r="AM728" s="246">
        <v>2.9</v>
      </c>
      <c r="AN728" s="235">
        <v>16</v>
      </c>
      <c r="AO728" s="247" t="s">
        <v>1186</v>
      </c>
      <c r="AP728" s="247">
        <v>990</v>
      </c>
      <c r="AQ728" s="247">
        <v>24.7</v>
      </c>
      <c r="AR728" s="247">
        <v>28.1</v>
      </c>
      <c r="AS728" s="247">
        <v>27</v>
      </c>
      <c r="AT728" s="247">
        <v>41</v>
      </c>
      <c r="AU728" s="247">
        <v>10.6</v>
      </c>
      <c r="AV728" s="247">
        <v>77</v>
      </c>
      <c r="AW728" s="247">
        <v>63</v>
      </c>
      <c r="AX728" s="247">
        <v>528</v>
      </c>
      <c r="AY728" s="247">
        <v>122</v>
      </c>
      <c r="AZ728" s="247" t="s">
        <v>973</v>
      </c>
      <c r="BA728" s="248">
        <v>0</v>
      </c>
      <c r="BB728" s="235">
        <v>14</v>
      </c>
      <c r="BC728" s="247" t="s">
        <v>149</v>
      </c>
      <c r="BD728" s="247">
        <v>0.7</v>
      </c>
      <c r="BE728" s="247">
        <v>1</v>
      </c>
      <c r="BF728" s="247">
        <v>2.2000000000000002</v>
      </c>
      <c r="BG728" s="247">
        <v>4.2</v>
      </c>
      <c r="BH728" s="247">
        <v>7.3</v>
      </c>
      <c r="BI728" s="247">
        <v>14.1</v>
      </c>
      <c r="BJ728" s="247">
        <v>19.2</v>
      </c>
      <c r="BK728" s="247">
        <v>16.8</v>
      </c>
      <c r="BL728" s="247">
        <v>10.199999999999999</v>
      </c>
      <c r="BM728" s="247">
        <v>4.7</v>
      </c>
      <c r="BN728" s="247">
        <v>1.9</v>
      </c>
      <c r="BO728" s="247">
        <v>0.9</v>
      </c>
      <c r="BP728" s="248">
        <v>6</v>
      </c>
    </row>
    <row r="729" spans="1:68" ht="14.25" customHeight="1">
      <c r="A729" s="233">
        <v>72</v>
      </c>
      <c r="B729" s="234">
        <v>258</v>
      </c>
      <c r="C729" s="244" t="s">
        <v>928</v>
      </c>
      <c r="D729" s="244" t="s">
        <v>941</v>
      </c>
      <c r="E729" s="244" t="s">
        <v>1187</v>
      </c>
      <c r="F729" s="245">
        <v>-13.3</v>
      </c>
      <c r="G729" s="245">
        <v>-10.1</v>
      </c>
      <c r="H729" s="245">
        <v>-3.1</v>
      </c>
      <c r="I729" s="245">
        <v>4.2</v>
      </c>
      <c r="J729" s="245">
        <v>9.5</v>
      </c>
      <c r="K729" s="245">
        <v>13.2</v>
      </c>
      <c r="L729" s="245">
        <v>17.7</v>
      </c>
      <c r="M729" s="245">
        <v>19.2</v>
      </c>
      <c r="N729" s="245">
        <v>14.1</v>
      </c>
      <c r="O729" s="245">
        <v>6.9</v>
      </c>
      <c r="P729" s="245">
        <v>-2.6</v>
      </c>
      <c r="Q729" s="245">
        <v>-10.8</v>
      </c>
      <c r="R729" s="246">
        <v>3.7</v>
      </c>
      <c r="S729" s="233">
        <v>258</v>
      </c>
      <c r="T729" s="247" t="s">
        <v>1188</v>
      </c>
      <c r="U729" s="245">
        <v>-26</v>
      </c>
      <c r="V729" s="245">
        <v>-25</v>
      </c>
      <c r="W729" s="245">
        <v>-23</v>
      </c>
      <c r="X729" s="245">
        <v>-21</v>
      </c>
      <c r="Y729" s="245">
        <v>-18</v>
      </c>
      <c r="Z729" s="245">
        <v>-30</v>
      </c>
      <c r="AA729" s="245">
        <v>9.3000000000000007</v>
      </c>
      <c r="AB729" s="245">
        <v>142</v>
      </c>
      <c r="AC729" s="245">
        <v>-8.1</v>
      </c>
      <c r="AD729" s="245">
        <v>208</v>
      </c>
      <c r="AE729" s="245">
        <v>-4.2</v>
      </c>
      <c r="AF729" s="245">
        <v>229</v>
      </c>
      <c r="AG729" s="245">
        <v>-2.9</v>
      </c>
      <c r="AH729" s="245">
        <v>52</v>
      </c>
      <c r="AI729" s="245">
        <v>46</v>
      </c>
      <c r="AJ729" s="245">
        <v>101</v>
      </c>
      <c r="AK729" s="245" t="s">
        <v>944</v>
      </c>
      <c r="AL729" s="245" t="s">
        <v>931</v>
      </c>
      <c r="AM729" s="246">
        <v>4.0999999999999996</v>
      </c>
      <c r="AN729" s="235">
        <v>258</v>
      </c>
      <c r="AO729" s="247" t="s">
        <v>1189</v>
      </c>
      <c r="AP729" s="247">
        <v>1005</v>
      </c>
      <c r="AQ729" s="247">
        <v>22.7</v>
      </c>
      <c r="AR729" s="247">
        <v>26.8</v>
      </c>
      <c r="AS729" s="247">
        <v>25.1</v>
      </c>
      <c r="AT729" s="247">
        <v>38</v>
      </c>
      <c r="AU729" s="247">
        <v>10</v>
      </c>
      <c r="AV729" s="247">
        <v>84</v>
      </c>
      <c r="AW729" s="247">
        <v>73</v>
      </c>
      <c r="AX729" s="247">
        <v>594</v>
      </c>
      <c r="AY729" s="247">
        <v>145</v>
      </c>
      <c r="AZ729" s="247" t="s">
        <v>1038</v>
      </c>
      <c r="BA729" s="248" t="s">
        <v>934</v>
      </c>
      <c r="BB729" s="235">
        <v>229</v>
      </c>
      <c r="BC729" s="247" t="s">
        <v>1187</v>
      </c>
      <c r="BD729" s="247">
        <v>1.2</v>
      </c>
      <c r="BE729" s="247">
        <v>1.6</v>
      </c>
      <c r="BF729" s="247">
        <v>2.7</v>
      </c>
      <c r="BG729" s="247">
        <v>4.8</v>
      </c>
      <c r="BH729" s="247">
        <v>7.6</v>
      </c>
      <c r="BI729" s="247">
        <v>12.4</v>
      </c>
      <c r="BJ729" s="247">
        <v>17.399999999999999</v>
      </c>
      <c r="BK729" s="247">
        <v>18.600000000000001</v>
      </c>
      <c r="BL729" s="247">
        <v>12.5</v>
      </c>
      <c r="BM729" s="247">
        <v>6.3</v>
      </c>
      <c r="BN729" s="247">
        <v>2.9</v>
      </c>
      <c r="BO729" s="247">
        <v>1.5</v>
      </c>
      <c r="BP729" s="248">
        <v>7.5</v>
      </c>
    </row>
    <row r="730" spans="1:68" ht="14.25" customHeight="1">
      <c r="A730" s="233">
        <v>73</v>
      </c>
      <c r="B730" s="234">
        <v>172</v>
      </c>
      <c r="C730" s="244" t="s">
        <v>928</v>
      </c>
      <c r="D730" s="244" t="s">
        <v>935</v>
      </c>
      <c r="E730" s="244" t="s">
        <v>1190</v>
      </c>
      <c r="F730" s="245">
        <v>-17.399999999999999</v>
      </c>
      <c r="G730" s="245">
        <v>-16</v>
      </c>
      <c r="H730" s="245">
        <v>-9.1</v>
      </c>
      <c r="I730" s="245">
        <v>0.2</v>
      </c>
      <c r="J730" s="245">
        <v>8.1</v>
      </c>
      <c r="K730" s="245">
        <v>15.3</v>
      </c>
      <c r="L730" s="245">
        <v>17.8</v>
      </c>
      <c r="M730" s="245">
        <v>14.6</v>
      </c>
      <c r="N730" s="245">
        <v>8.6999999999999993</v>
      </c>
      <c r="O730" s="245">
        <v>0.8</v>
      </c>
      <c r="P730" s="245">
        <v>-9.6999999999999993</v>
      </c>
      <c r="Q730" s="245">
        <v>-16.399999999999999</v>
      </c>
      <c r="R730" s="246">
        <v>-0.3</v>
      </c>
      <c r="S730" s="233">
        <v>172</v>
      </c>
      <c r="T730" s="247" t="s">
        <v>1191</v>
      </c>
      <c r="U730" s="245">
        <v>-46</v>
      </c>
      <c r="V730" s="245">
        <v>-43</v>
      </c>
      <c r="W730" s="245">
        <v>-43</v>
      </c>
      <c r="X730" s="245">
        <v>-39</v>
      </c>
      <c r="Y730" s="245">
        <v>-22</v>
      </c>
      <c r="Z730" s="245">
        <v>-53</v>
      </c>
      <c r="AA730" s="245">
        <v>7.8</v>
      </c>
      <c r="AB730" s="245">
        <v>178</v>
      </c>
      <c r="AC730" s="245">
        <v>-11.5</v>
      </c>
      <c r="AD730" s="245">
        <v>239</v>
      </c>
      <c r="AE730" s="245">
        <v>-7.6</v>
      </c>
      <c r="AF730" s="245">
        <v>257</v>
      </c>
      <c r="AG730" s="245">
        <v>-6.4</v>
      </c>
      <c r="AH730" s="245">
        <v>77</v>
      </c>
      <c r="AI730" s="245">
        <v>75</v>
      </c>
      <c r="AJ730" s="245">
        <v>106</v>
      </c>
      <c r="AK730" s="245" t="s">
        <v>971</v>
      </c>
      <c r="AL730" s="245" t="s">
        <v>931</v>
      </c>
      <c r="AM730" s="246">
        <v>4.3</v>
      </c>
      <c r="AN730" s="235">
        <v>172</v>
      </c>
      <c r="AO730" s="247" t="s">
        <v>1192</v>
      </c>
      <c r="AP730" s="247">
        <v>975</v>
      </c>
      <c r="AQ730" s="247">
        <v>21.4</v>
      </c>
      <c r="AR730" s="247">
        <v>25.6</v>
      </c>
      <c r="AS730" s="247">
        <v>23.8</v>
      </c>
      <c r="AT730" s="247">
        <v>34</v>
      </c>
      <c r="AU730" s="247">
        <v>11.7</v>
      </c>
      <c r="AV730" s="247">
        <v>73</v>
      </c>
      <c r="AW730" s="247">
        <v>59</v>
      </c>
      <c r="AX730" s="247">
        <v>380</v>
      </c>
      <c r="AY730" s="247">
        <v>99</v>
      </c>
      <c r="AZ730" s="247" t="s">
        <v>978</v>
      </c>
      <c r="BA730" s="248" t="s">
        <v>934</v>
      </c>
      <c r="BB730" s="235">
        <v>151</v>
      </c>
      <c r="BC730" s="247" t="s">
        <v>1190</v>
      </c>
      <c r="BD730" s="247">
        <v>1.5</v>
      </c>
      <c r="BE730" s="247">
        <v>1.5</v>
      </c>
      <c r="BF730" s="247">
        <v>2.5</v>
      </c>
      <c r="BG730" s="247">
        <v>4.4000000000000004</v>
      </c>
      <c r="BH730" s="247">
        <v>6.6</v>
      </c>
      <c r="BI730" s="247">
        <v>11.4</v>
      </c>
      <c r="BJ730" s="247">
        <v>14.8</v>
      </c>
      <c r="BK730" s="247">
        <v>12.9</v>
      </c>
      <c r="BL730" s="247">
        <v>8.5</v>
      </c>
      <c r="BM730" s="247">
        <v>5</v>
      </c>
      <c r="BN730" s="247">
        <v>2.7</v>
      </c>
      <c r="BO730" s="247">
        <v>1.7</v>
      </c>
      <c r="BP730" s="248">
        <v>6.1</v>
      </c>
    </row>
    <row r="731" spans="1:68" ht="14.25" customHeight="1">
      <c r="A731" s="233">
        <v>74</v>
      </c>
      <c r="B731" s="234">
        <v>173</v>
      </c>
      <c r="C731" s="244" t="s">
        <v>928</v>
      </c>
      <c r="D731" s="244" t="s">
        <v>935</v>
      </c>
      <c r="E731" s="244" t="s">
        <v>1193</v>
      </c>
      <c r="F731" s="245">
        <v>-24.4</v>
      </c>
      <c r="G731" s="245">
        <v>-22.4</v>
      </c>
      <c r="H731" s="245">
        <v>-12.1</v>
      </c>
      <c r="I731" s="245">
        <v>-0.5</v>
      </c>
      <c r="J731" s="245">
        <v>7.2</v>
      </c>
      <c r="K731" s="245">
        <v>15.7</v>
      </c>
      <c r="L731" s="245">
        <v>18.8</v>
      </c>
      <c r="M731" s="245">
        <v>14.9</v>
      </c>
      <c r="N731" s="245">
        <v>8</v>
      </c>
      <c r="O731" s="245">
        <v>-0.5</v>
      </c>
      <c r="P731" s="245">
        <v>-13.4</v>
      </c>
      <c r="Q731" s="245">
        <v>-22.8</v>
      </c>
      <c r="R731" s="246">
        <v>-2.6</v>
      </c>
      <c r="S731" s="233">
        <v>173</v>
      </c>
      <c r="T731" s="247" t="s">
        <v>1194</v>
      </c>
      <c r="U731" s="245">
        <v>-51</v>
      </c>
      <c r="V731" s="245">
        <v>-49</v>
      </c>
      <c r="W731" s="245">
        <v>-49</v>
      </c>
      <c r="X731" s="245">
        <v>-46</v>
      </c>
      <c r="Y731" s="245">
        <v>-29</v>
      </c>
      <c r="Z731" s="245">
        <v>-54</v>
      </c>
      <c r="AA731" s="245">
        <v>10.8</v>
      </c>
      <c r="AB731" s="245">
        <v>185</v>
      </c>
      <c r="AC731" s="245">
        <v>-15.6</v>
      </c>
      <c r="AD731" s="245">
        <v>245</v>
      </c>
      <c r="AE731" s="245">
        <v>-10.8</v>
      </c>
      <c r="AF731" s="245">
        <v>261</v>
      </c>
      <c r="AG731" s="245">
        <v>-9.6</v>
      </c>
      <c r="AH731" s="245">
        <v>76</v>
      </c>
      <c r="AI731" s="245">
        <v>75</v>
      </c>
      <c r="AJ731" s="245">
        <v>85</v>
      </c>
      <c r="AK731" s="245" t="s">
        <v>950</v>
      </c>
      <c r="AL731" s="245">
        <v>5.3</v>
      </c>
      <c r="AM731" s="246">
        <v>2.7</v>
      </c>
      <c r="AN731" s="235">
        <v>173</v>
      </c>
      <c r="AO731" s="247" t="s">
        <v>1195</v>
      </c>
      <c r="AP731" s="247">
        <v>990</v>
      </c>
      <c r="AQ731" s="247">
        <v>23.3</v>
      </c>
      <c r="AR731" s="247">
        <v>26.8</v>
      </c>
      <c r="AS731" s="247">
        <v>25.7</v>
      </c>
      <c r="AT731" s="247">
        <v>38</v>
      </c>
      <c r="AU731" s="247">
        <v>13.5</v>
      </c>
      <c r="AV731" s="247">
        <v>68</v>
      </c>
      <c r="AW731" s="247">
        <v>51</v>
      </c>
      <c r="AX731" s="247">
        <v>292</v>
      </c>
      <c r="AY731" s="247">
        <v>63</v>
      </c>
      <c r="AZ731" s="247" t="s">
        <v>952</v>
      </c>
      <c r="BA731" s="248">
        <v>0</v>
      </c>
      <c r="BB731" s="235">
        <v>152</v>
      </c>
      <c r="BC731" s="247" t="s">
        <v>1193</v>
      </c>
      <c r="BD731" s="247">
        <v>0.9</v>
      </c>
      <c r="BE731" s="247">
        <v>1</v>
      </c>
      <c r="BF731" s="247">
        <v>2</v>
      </c>
      <c r="BG731" s="247">
        <v>3.7</v>
      </c>
      <c r="BH731" s="247">
        <v>5.9</v>
      </c>
      <c r="BI731" s="247">
        <v>10.6</v>
      </c>
      <c r="BJ731" s="247">
        <v>14.6</v>
      </c>
      <c r="BK731" s="247">
        <v>12.6</v>
      </c>
      <c r="BL731" s="247">
        <v>8.3000000000000007</v>
      </c>
      <c r="BM731" s="247">
        <v>4.5999999999999996</v>
      </c>
      <c r="BN731" s="247">
        <v>2.1</v>
      </c>
      <c r="BO731" s="247">
        <v>1.1000000000000001</v>
      </c>
      <c r="BP731" s="248">
        <v>5.6</v>
      </c>
    </row>
    <row r="732" spans="1:68" ht="14.25" customHeight="1">
      <c r="A732" s="233">
        <v>75</v>
      </c>
      <c r="B732" s="234">
        <v>84</v>
      </c>
      <c r="C732" s="244" t="s">
        <v>928</v>
      </c>
      <c r="D732" s="244" t="s">
        <v>1001</v>
      </c>
      <c r="E732" s="244" t="s">
        <v>1196</v>
      </c>
      <c r="F732" s="245">
        <v>-30.8</v>
      </c>
      <c r="G732" s="245">
        <v>-26.8</v>
      </c>
      <c r="H732" s="245">
        <v>-15.4</v>
      </c>
      <c r="I732" s="245">
        <v>-2.7</v>
      </c>
      <c r="J732" s="245">
        <v>6.1</v>
      </c>
      <c r="K732" s="245">
        <v>14.2</v>
      </c>
      <c r="L732" s="245">
        <v>17.600000000000001</v>
      </c>
      <c r="M732" s="245">
        <v>14.5</v>
      </c>
      <c r="N732" s="245">
        <v>6.9</v>
      </c>
      <c r="O732" s="245">
        <v>-3.1</v>
      </c>
      <c r="P732" s="245">
        <v>-18.600000000000001</v>
      </c>
      <c r="Q732" s="245">
        <v>-28.9</v>
      </c>
      <c r="R732" s="246">
        <v>-5.6</v>
      </c>
      <c r="S732" s="233">
        <v>84</v>
      </c>
      <c r="T732" s="247" t="s">
        <v>1197</v>
      </c>
      <c r="U732" s="245">
        <v>-52</v>
      </c>
      <c r="V732" s="245">
        <v>-50</v>
      </c>
      <c r="W732" s="245">
        <v>-50</v>
      </c>
      <c r="X732" s="245">
        <v>-47</v>
      </c>
      <c r="Y732" s="245">
        <v>-36</v>
      </c>
      <c r="Z732" s="245">
        <v>-55</v>
      </c>
      <c r="AA732" s="245">
        <v>9</v>
      </c>
      <c r="AB732" s="245">
        <v>200</v>
      </c>
      <c r="AC732" s="245">
        <v>-18.7</v>
      </c>
      <c r="AD732" s="245">
        <v>254</v>
      </c>
      <c r="AE732" s="245">
        <v>-13.9</v>
      </c>
      <c r="AF732" s="245">
        <v>270</v>
      </c>
      <c r="AG732" s="245">
        <v>-12.6</v>
      </c>
      <c r="AH732" s="245">
        <v>80</v>
      </c>
      <c r="AI732" s="245">
        <v>78</v>
      </c>
      <c r="AJ732" s="245">
        <v>113</v>
      </c>
      <c r="AK732" s="245" t="s">
        <v>931</v>
      </c>
      <c r="AL732" s="245" t="s">
        <v>931</v>
      </c>
      <c r="AM732" s="246">
        <v>1.4</v>
      </c>
      <c r="AN732" s="235">
        <v>84</v>
      </c>
      <c r="AO732" s="247" t="s">
        <v>1198</v>
      </c>
      <c r="AP732" s="247">
        <v>975</v>
      </c>
      <c r="AQ732" s="247">
        <v>21.9</v>
      </c>
      <c r="AR732" s="247">
        <v>27</v>
      </c>
      <c r="AS732" s="247">
        <v>26.1</v>
      </c>
      <c r="AT732" s="247">
        <v>40</v>
      </c>
      <c r="AU732" s="247">
        <v>14.6</v>
      </c>
      <c r="AV732" s="247">
        <v>74</v>
      </c>
      <c r="AW732" s="247">
        <v>55</v>
      </c>
      <c r="AX732" s="247">
        <v>387</v>
      </c>
      <c r="AY732" s="247">
        <v>62</v>
      </c>
      <c r="AZ732" s="247" t="s">
        <v>933</v>
      </c>
      <c r="BA732" s="248" t="s">
        <v>934</v>
      </c>
      <c r="BB732" s="235">
        <v>68</v>
      </c>
      <c r="BC732" s="247" t="s">
        <v>1196</v>
      </c>
      <c r="BD732" s="247">
        <v>0.6</v>
      </c>
      <c r="BE732" s="247">
        <v>0.7</v>
      </c>
      <c r="BF732" s="247">
        <v>1.5</v>
      </c>
      <c r="BG732" s="247">
        <v>3.4</v>
      </c>
      <c r="BH732" s="247">
        <v>5.6</v>
      </c>
      <c r="BI732" s="247">
        <v>10.6</v>
      </c>
      <c r="BJ732" s="247">
        <v>14.7</v>
      </c>
      <c r="BK732" s="247">
        <v>13</v>
      </c>
      <c r="BL732" s="247">
        <v>8</v>
      </c>
      <c r="BM732" s="247">
        <v>4</v>
      </c>
      <c r="BN732" s="247">
        <v>1.4</v>
      </c>
      <c r="BO732" s="247">
        <v>0.7</v>
      </c>
      <c r="BP732" s="248">
        <v>5.4</v>
      </c>
    </row>
    <row r="733" spans="1:68" ht="14.25" customHeight="1">
      <c r="A733" s="233">
        <v>76</v>
      </c>
      <c r="B733" s="234">
        <v>233</v>
      </c>
      <c r="C733" s="244" t="s">
        <v>928</v>
      </c>
      <c r="D733" s="244" t="s">
        <v>1119</v>
      </c>
      <c r="E733" s="244" t="s">
        <v>1199</v>
      </c>
      <c r="F733" s="245">
        <v>-18.5</v>
      </c>
      <c r="G733" s="245">
        <v>-16.8</v>
      </c>
      <c r="H733" s="245">
        <v>-9.4</v>
      </c>
      <c r="I733" s="245">
        <v>1.1000000000000001</v>
      </c>
      <c r="J733" s="245">
        <v>9.6</v>
      </c>
      <c r="K733" s="245">
        <v>16.399999999999999</v>
      </c>
      <c r="L733" s="245">
        <v>18.899999999999999</v>
      </c>
      <c r="M733" s="245">
        <v>15.5</v>
      </c>
      <c r="N733" s="245">
        <v>9.6</v>
      </c>
      <c r="O733" s="245">
        <v>1.1000000000000001</v>
      </c>
      <c r="P733" s="245">
        <v>-9.6999999999999993</v>
      </c>
      <c r="Q733" s="245">
        <v>-16.899999999999999</v>
      </c>
      <c r="R733" s="246">
        <v>0.1</v>
      </c>
      <c r="S733" s="233">
        <v>233</v>
      </c>
      <c r="T733" s="247" t="s">
        <v>1200</v>
      </c>
      <c r="U733" s="245">
        <v>-43</v>
      </c>
      <c r="V733" s="245">
        <v>-42</v>
      </c>
      <c r="W733" s="245">
        <v>-40</v>
      </c>
      <c r="X733" s="245">
        <v>-39</v>
      </c>
      <c r="Y733" s="245">
        <v>-24</v>
      </c>
      <c r="Z733" s="245">
        <v>-51</v>
      </c>
      <c r="AA733" s="245">
        <v>8.3000000000000007</v>
      </c>
      <c r="AB733" s="245">
        <v>175</v>
      </c>
      <c r="AC733" s="245">
        <v>-12.1</v>
      </c>
      <c r="AD733" s="245">
        <v>231</v>
      </c>
      <c r="AE733" s="245">
        <v>-8.1999999999999993</v>
      </c>
      <c r="AF733" s="245">
        <v>246</v>
      </c>
      <c r="AG733" s="245">
        <v>-7.1</v>
      </c>
      <c r="AH733" s="245">
        <v>82</v>
      </c>
      <c r="AI733" s="245">
        <v>80</v>
      </c>
      <c r="AJ733" s="245">
        <v>154</v>
      </c>
      <c r="AK733" s="245" t="s">
        <v>971</v>
      </c>
      <c r="AL733" s="245">
        <v>5.6</v>
      </c>
      <c r="AM733" s="246">
        <v>4.4000000000000004</v>
      </c>
      <c r="AN733" s="235">
        <v>233</v>
      </c>
      <c r="AO733" s="247" t="s">
        <v>1201</v>
      </c>
      <c r="AP733" s="247">
        <v>985</v>
      </c>
      <c r="AQ733" s="247">
        <v>22.4</v>
      </c>
      <c r="AR733" s="247">
        <v>26.6</v>
      </c>
      <c r="AS733" s="247">
        <v>24.8</v>
      </c>
      <c r="AT733" s="247">
        <v>36</v>
      </c>
      <c r="AU733" s="247">
        <v>11.5</v>
      </c>
      <c r="AV733" s="247">
        <v>72</v>
      </c>
      <c r="AW733" s="247">
        <v>57</v>
      </c>
      <c r="AX733" s="247">
        <v>372</v>
      </c>
      <c r="AY733" s="247">
        <v>64</v>
      </c>
      <c r="AZ733" s="247" t="s">
        <v>978</v>
      </c>
      <c r="BA733" s="248">
        <v>2.9</v>
      </c>
      <c r="BB733" s="235">
        <v>205</v>
      </c>
      <c r="BC733" s="247" t="s">
        <v>1199</v>
      </c>
      <c r="BD733" s="247">
        <v>1.4</v>
      </c>
      <c r="BE733" s="247">
        <v>1.6</v>
      </c>
      <c r="BF733" s="247">
        <v>2.6</v>
      </c>
      <c r="BG733" s="247">
        <v>4.8</v>
      </c>
      <c r="BH733" s="247">
        <v>7.1</v>
      </c>
      <c r="BI733" s="247">
        <v>12</v>
      </c>
      <c r="BJ733" s="247">
        <v>15.4</v>
      </c>
      <c r="BK733" s="247">
        <v>13.3</v>
      </c>
      <c r="BL733" s="247">
        <v>9.1</v>
      </c>
      <c r="BM733" s="247">
        <v>5.4</v>
      </c>
      <c r="BN733" s="247">
        <v>2.9</v>
      </c>
      <c r="BO733" s="247">
        <v>1.8</v>
      </c>
      <c r="BP733" s="248">
        <v>6.5</v>
      </c>
    </row>
    <row r="734" spans="1:68" ht="14.25" customHeight="1">
      <c r="A734" s="233">
        <v>77</v>
      </c>
      <c r="B734" s="234">
        <v>17</v>
      </c>
      <c r="C734" s="244" t="s">
        <v>928</v>
      </c>
      <c r="D734" s="244" t="s">
        <v>1046</v>
      </c>
      <c r="E734" s="244" t="s">
        <v>1202</v>
      </c>
      <c r="F734" s="245">
        <v>-32.200000000000003</v>
      </c>
      <c r="G734" s="245">
        <v>-24.8</v>
      </c>
      <c r="H734" s="245">
        <v>-13.1</v>
      </c>
      <c r="I734" s="245">
        <v>-1.6</v>
      </c>
      <c r="J734" s="245">
        <v>7.9</v>
      </c>
      <c r="K734" s="245">
        <v>14.7</v>
      </c>
      <c r="L734" s="245">
        <v>17.8</v>
      </c>
      <c r="M734" s="245">
        <v>15.3</v>
      </c>
      <c r="N734" s="245">
        <v>8.5</v>
      </c>
      <c r="O734" s="245">
        <v>-2.8</v>
      </c>
      <c r="P734" s="245">
        <v>-20</v>
      </c>
      <c r="Q734" s="245">
        <v>-30.7</v>
      </c>
      <c r="R734" s="246">
        <v>-5.0999999999999996</v>
      </c>
      <c r="S734" s="233">
        <v>17</v>
      </c>
      <c r="T734" s="247" t="s">
        <v>1203</v>
      </c>
      <c r="U734" s="245">
        <v>-46</v>
      </c>
      <c r="V734" s="245">
        <v>-45</v>
      </c>
      <c r="W734" s="245">
        <v>-44</v>
      </c>
      <c r="X734" s="245">
        <v>-42</v>
      </c>
      <c r="Y734" s="245">
        <v>-37</v>
      </c>
      <c r="Z734" s="245">
        <v>-52</v>
      </c>
      <c r="AA734" s="245">
        <v>11.1</v>
      </c>
      <c r="AB734" s="245">
        <v>194</v>
      </c>
      <c r="AC734" s="245">
        <v>-19.2</v>
      </c>
      <c r="AD734" s="245">
        <v>242</v>
      </c>
      <c r="AE734" s="245">
        <v>-14.7</v>
      </c>
      <c r="AF734" s="245">
        <v>259</v>
      </c>
      <c r="AG734" s="245">
        <v>-13.1</v>
      </c>
      <c r="AH734" s="245">
        <v>73</v>
      </c>
      <c r="AI734" s="245">
        <v>66</v>
      </c>
      <c r="AJ734" s="245">
        <v>54</v>
      </c>
      <c r="AK734" s="245" t="s">
        <v>938</v>
      </c>
      <c r="AL734" s="245">
        <v>1.9</v>
      </c>
      <c r="AM734" s="246">
        <v>1.4</v>
      </c>
      <c r="AN734" s="235">
        <v>17</v>
      </c>
      <c r="AO734" s="247" t="s">
        <v>1204</v>
      </c>
      <c r="AP734" s="247">
        <v>965</v>
      </c>
      <c r="AQ734" s="247">
        <v>21.7</v>
      </c>
      <c r="AR734" s="247">
        <v>26</v>
      </c>
      <c r="AS734" s="247">
        <v>24.6</v>
      </c>
      <c r="AT734" s="247">
        <v>35</v>
      </c>
      <c r="AU734" s="247">
        <v>12.8</v>
      </c>
      <c r="AV734" s="247">
        <v>75</v>
      </c>
      <c r="AW734" s="247">
        <v>61</v>
      </c>
      <c r="AX734" s="247">
        <v>533</v>
      </c>
      <c r="AY734" s="247">
        <v>101</v>
      </c>
      <c r="AZ734" s="247" t="s">
        <v>1038</v>
      </c>
      <c r="BA734" s="248">
        <v>3.5</v>
      </c>
      <c r="BB734" s="235">
        <v>15</v>
      </c>
      <c r="BC734" s="247" t="s">
        <v>1202</v>
      </c>
      <c r="BD734" s="247">
        <v>0.4</v>
      </c>
      <c r="BE734" s="247">
        <v>0.6</v>
      </c>
      <c r="BF734" s="247">
        <v>1.4</v>
      </c>
      <c r="BG734" s="247">
        <v>3</v>
      </c>
      <c r="BH734" s="247">
        <v>5.8</v>
      </c>
      <c r="BI734" s="247">
        <v>11</v>
      </c>
      <c r="BJ734" s="247">
        <v>15.2</v>
      </c>
      <c r="BK734" s="247">
        <v>13.9</v>
      </c>
      <c r="BL734" s="247">
        <v>8.3000000000000007</v>
      </c>
      <c r="BM734" s="247">
        <v>3.4</v>
      </c>
      <c r="BN734" s="247">
        <v>1.1000000000000001</v>
      </c>
      <c r="BO734" s="247">
        <v>0.5</v>
      </c>
      <c r="BP734" s="248">
        <v>5.4</v>
      </c>
    </row>
    <row r="735" spans="1:68" ht="14.25" customHeight="1">
      <c r="A735" s="233">
        <v>78</v>
      </c>
      <c r="B735" s="234">
        <v>379</v>
      </c>
      <c r="C735" s="244" t="s">
        <v>928</v>
      </c>
      <c r="D735" s="244" t="s">
        <v>947</v>
      </c>
      <c r="E735" s="244" t="s">
        <v>1205</v>
      </c>
      <c r="F735" s="245">
        <v>-26.9</v>
      </c>
      <c r="G735" s="245">
        <v>-23.5</v>
      </c>
      <c r="H735" s="245">
        <v>-12.1</v>
      </c>
      <c r="I735" s="245">
        <v>0.4</v>
      </c>
      <c r="J735" s="245">
        <v>9.1999999999999993</v>
      </c>
      <c r="K735" s="245">
        <v>16.3</v>
      </c>
      <c r="L735" s="245">
        <v>18.7</v>
      </c>
      <c r="M735" s="245">
        <v>16.3</v>
      </c>
      <c r="N735" s="245">
        <v>8.9</v>
      </c>
      <c r="O735" s="245">
        <v>-0.8</v>
      </c>
      <c r="P735" s="245">
        <v>-13.9</v>
      </c>
      <c r="Q735" s="245">
        <v>-23.8</v>
      </c>
      <c r="R735" s="246">
        <v>-2.6</v>
      </c>
      <c r="S735" s="233">
        <v>379</v>
      </c>
      <c r="T735" s="247" t="s">
        <v>1206</v>
      </c>
      <c r="U735" s="245">
        <v>-45</v>
      </c>
      <c r="V735" s="245">
        <v>-42</v>
      </c>
      <c r="W735" s="245">
        <v>-44</v>
      </c>
      <c r="X735" s="245">
        <v>-40</v>
      </c>
      <c r="Y735" s="245">
        <v>-32</v>
      </c>
      <c r="Z735" s="245">
        <v>-52</v>
      </c>
      <c r="AA735" s="245">
        <v>13.9</v>
      </c>
      <c r="AB735" s="245">
        <v>183</v>
      </c>
      <c r="AC735" s="245">
        <v>-16.5</v>
      </c>
      <c r="AD735" s="245">
        <v>236</v>
      </c>
      <c r="AE735" s="245">
        <v>-12</v>
      </c>
      <c r="AF735" s="245">
        <v>250</v>
      </c>
      <c r="AG735" s="245">
        <v>-10.7</v>
      </c>
      <c r="AH735" s="245">
        <v>78</v>
      </c>
      <c r="AI735" s="245">
        <v>78</v>
      </c>
      <c r="AJ735" s="245">
        <v>21</v>
      </c>
      <c r="AK735" s="245" t="s">
        <v>938</v>
      </c>
      <c r="AL735" s="245" t="s">
        <v>931</v>
      </c>
      <c r="AM735" s="246">
        <v>3.1</v>
      </c>
      <c r="AN735" s="235">
        <v>379</v>
      </c>
      <c r="AO735" s="247" t="s">
        <v>1207</v>
      </c>
      <c r="AP735" s="247">
        <v>930</v>
      </c>
      <c r="AQ735" s="247">
        <v>23.2</v>
      </c>
      <c r="AR735" s="247">
        <v>27.2</v>
      </c>
      <c r="AS735" s="247">
        <v>26</v>
      </c>
      <c r="AT735" s="247">
        <v>41</v>
      </c>
      <c r="AU735" s="247">
        <v>12.9</v>
      </c>
      <c r="AV735" s="247">
        <v>68</v>
      </c>
      <c r="AW735" s="247">
        <v>65</v>
      </c>
      <c r="AX735" s="247">
        <v>276</v>
      </c>
      <c r="AY735" s="247">
        <v>73</v>
      </c>
      <c r="AZ735" s="247" t="s">
        <v>940</v>
      </c>
      <c r="BA735" s="248" t="s">
        <v>934</v>
      </c>
      <c r="BB735" s="235">
        <v>343</v>
      </c>
      <c r="BC735" s="247" t="s">
        <v>1205</v>
      </c>
      <c r="BD735" s="247">
        <v>0.6</v>
      </c>
      <c r="BE735" s="247">
        <v>0.8</v>
      </c>
      <c r="BF735" s="247">
        <v>1.8</v>
      </c>
      <c r="BG735" s="247">
        <v>3.3</v>
      </c>
      <c r="BH735" s="247">
        <v>5.4</v>
      </c>
      <c r="BI735" s="247">
        <v>10.5</v>
      </c>
      <c r="BJ735" s="247">
        <v>14.9</v>
      </c>
      <c r="BK735" s="247">
        <v>13.2</v>
      </c>
      <c r="BL735" s="247">
        <v>7.7</v>
      </c>
      <c r="BM735" s="247">
        <v>3.8</v>
      </c>
      <c r="BN735" s="247">
        <v>1.7</v>
      </c>
      <c r="BO735" s="247">
        <v>0.8</v>
      </c>
      <c r="BP735" s="248">
        <v>5.4</v>
      </c>
    </row>
    <row r="736" spans="1:68" ht="14.25" customHeight="1">
      <c r="A736" s="233">
        <v>79</v>
      </c>
      <c r="B736" s="234">
        <v>39</v>
      </c>
      <c r="C736" s="244" t="s">
        <v>928</v>
      </c>
      <c r="D736" s="244" t="s">
        <v>1043</v>
      </c>
      <c r="E736" s="244" t="s">
        <v>1208</v>
      </c>
      <c r="F736" s="245">
        <v>-17.8</v>
      </c>
      <c r="G736" s="245">
        <v>-16.399999999999999</v>
      </c>
      <c r="H736" s="245">
        <v>-11.2</v>
      </c>
      <c r="I736" s="245">
        <v>-2.9</v>
      </c>
      <c r="J736" s="245">
        <v>3.1</v>
      </c>
      <c r="K736" s="245">
        <v>10.199999999999999</v>
      </c>
      <c r="L736" s="245">
        <v>13.5</v>
      </c>
      <c r="M736" s="245">
        <v>11</v>
      </c>
      <c r="N736" s="245">
        <v>5.5</v>
      </c>
      <c r="O736" s="245">
        <v>-1.7</v>
      </c>
      <c r="P736" s="245">
        <v>-8.1</v>
      </c>
      <c r="Q736" s="245">
        <v>-13.9</v>
      </c>
      <c r="R736" s="246">
        <v>-2.4</v>
      </c>
      <c r="S736" s="233">
        <v>39</v>
      </c>
      <c r="T736" s="247" t="s">
        <v>1209</v>
      </c>
      <c r="U736" s="245">
        <v>-49</v>
      </c>
      <c r="V736" s="245">
        <v>-47</v>
      </c>
      <c r="W736" s="245">
        <v>-44</v>
      </c>
      <c r="X736" s="245">
        <v>-42</v>
      </c>
      <c r="Y736" s="245">
        <v>-23</v>
      </c>
      <c r="Z736" s="245">
        <v>-55</v>
      </c>
      <c r="AA736" s="245">
        <v>10</v>
      </c>
      <c r="AB736" s="245">
        <v>203</v>
      </c>
      <c r="AC736" s="245">
        <v>-10.5</v>
      </c>
      <c r="AD736" s="245">
        <v>277</v>
      </c>
      <c r="AE736" s="245">
        <v>-6.6</v>
      </c>
      <c r="AF736" s="245">
        <v>297</v>
      </c>
      <c r="AG736" s="245">
        <v>-5.6</v>
      </c>
      <c r="AH736" s="245">
        <v>83</v>
      </c>
      <c r="AI736" s="245">
        <v>83</v>
      </c>
      <c r="AJ736" s="245">
        <v>191</v>
      </c>
      <c r="AK736" s="245" t="s">
        <v>971</v>
      </c>
      <c r="AL736" s="245" t="s">
        <v>931</v>
      </c>
      <c r="AM736" s="246">
        <v>2.6</v>
      </c>
      <c r="AN736" s="235">
        <v>39</v>
      </c>
      <c r="AO736" s="247" t="s">
        <v>1210</v>
      </c>
      <c r="AP736" s="247">
        <v>990</v>
      </c>
      <c r="AQ736" s="247">
        <v>17.899999999999999</v>
      </c>
      <c r="AR736" s="247">
        <v>22.3</v>
      </c>
      <c r="AS736" s="247">
        <v>20.3</v>
      </c>
      <c r="AT736" s="247">
        <v>35</v>
      </c>
      <c r="AU736" s="247">
        <v>14.2</v>
      </c>
      <c r="AV736" s="247">
        <v>74</v>
      </c>
      <c r="AW736" s="247">
        <v>60</v>
      </c>
      <c r="AX736" s="247">
        <v>435</v>
      </c>
      <c r="AY736" s="247">
        <v>76</v>
      </c>
      <c r="AZ736" s="247" t="s">
        <v>959</v>
      </c>
      <c r="BA736" s="248" t="s">
        <v>934</v>
      </c>
      <c r="BB736" s="235">
        <v>25</v>
      </c>
      <c r="BC736" s="247" t="s">
        <v>1208</v>
      </c>
      <c r="BD736" s="247">
        <v>1.8</v>
      </c>
      <c r="BE736" s="247">
        <v>1.8</v>
      </c>
      <c r="BF736" s="247">
        <v>2.5</v>
      </c>
      <c r="BG736" s="247">
        <v>3.9</v>
      </c>
      <c r="BH736" s="247">
        <v>5.4</v>
      </c>
      <c r="BI736" s="247">
        <v>8.6</v>
      </c>
      <c r="BJ736" s="247">
        <v>11.4</v>
      </c>
      <c r="BK736" s="247">
        <v>11</v>
      </c>
      <c r="BL736" s="247">
        <v>8.1</v>
      </c>
      <c r="BM736" s="247">
        <v>5.2</v>
      </c>
      <c r="BN736" s="247">
        <v>3.5</v>
      </c>
      <c r="BO736" s="247">
        <v>2.4</v>
      </c>
      <c r="BP736" s="248">
        <v>5.5</v>
      </c>
    </row>
    <row r="737" spans="1:68" ht="14.25" customHeight="1">
      <c r="A737" s="233">
        <v>80</v>
      </c>
      <c r="B737" s="234">
        <v>230</v>
      </c>
      <c r="C737" s="244" t="s">
        <v>928</v>
      </c>
      <c r="D737" s="244" t="s">
        <v>1211</v>
      </c>
      <c r="E737" s="244" t="s">
        <v>1212</v>
      </c>
      <c r="F737" s="245">
        <v>-9.8000000000000007</v>
      </c>
      <c r="G737" s="245">
        <v>-8.8000000000000007</v>
      </c>
      <c r="H737" s="245">
        <v>-3.8</v>
      </c>
      <c r="I737" s="245">
        <v>3.8</v>
      </c>
      <c r="J737" s="245">
        <v>11</v>
      </c>
      <c r="K737" s="245">
        <v>15.4</v>
      </c>
      <c r="L737" s="245">
        <v>17.399999999999999</v>
      </c>
      <c r="M737" s="245">
        <v>15.4</v>
      </c>
      <c r="N737" s="245">
        <v>10</v>
      </c>
      <c r="O737" s="245">
        <v>4.2</v>
      </c>
      <c r="P737" s="245">
        <v>-1.6</v>
      </c>
      <c r="Q737" s="245">
        <v>-6.7</v>
      </c>
      <c r="R737" s="246">
        <v>3.9</v>
      </c>
      <c r="S737" s="233">
        <v>230</v>
      </c>
      <c r="T737" s="247" t="s">
        <v>1213</v>
      </c>
      <c r="U737" s="245">
        <v>-39</v>
      </c>
      <c r="V737" s="245">
        <v>-34</v>
      </c>
      <c r="W737" s="245">
        <v>-32</v>
      </c>
      <c r="X737" s="245">
        <v>-29</v>
      </c>
      <c r="Y737" s="245">
        <v>-13</v>
      </c>
      <c r="Z737" s="245">
        <v>-45</v>
      </c>
      <c r="AA737" s="245">
        <v>6.8</v>
      </c>
      <c r="AB737" s="245">
        <v>145</v>
      </c>
      <c r="AC737" s="245">
        <v>-6.4</v>
      </c>
      <c r="AD737" s="245">
        <v>220</v>
      </c>
      <c r="AE737" s="245">
        <v>-2.8</v>
      </c>
      <c r="AF737" s="245">
        <v>239</v>
      </c>
      <c r="AG737" s="245">
        <v>-1.8</v>
      </c>
      <c r="AH737" s="245">
        <v>85</v>
      </c>
      <c r="AI737" s="245">
        <v>83</v>
      </c>
      <c r="AJ737" s="245">
        <v>144</v>
      </c>
      <c r="AK737" s="245" t="s">
        <v>990</v>
      </c>
      <c r="AL737" s="245">
        <v>3.9</v>
      </c>
      <c r="AM737" s="246">
        <v>3.4</v>
      </c>
      <c r="AN737" s="235">
        <v>230</v>
      </c>
      <c r="AO737" s="247" t="s">
        <v>1214</v>
      </c>
      <c r="AP737" s="247">
        <v>1005</v>
      </c>
      <c r="AQ737" s="247">
        <v>20</v>
      </c>
      <c r="AR737" s="247">
        <v>25</v>
      </c>
      <c r="AS737" s="247">
        <v>23.2</v>
      </c>
      <c r="AT737" s="247">
        <v>36</v>
      </c>
      <c r="AU737" s="247">
        <v>11</v>
      </c>
      <c r="AV737" s="247">
        <v>75</v>
      </c>
      <c r="AW737" s="247">
        <v>58</v>
      </c>
      <c r="AX737" s="247">
        <v>463</v>
      </c>
      <c r="AY737" s="247" t="s">
        <v>965</v>
      </c>
      <c r="AZ737" s="247" t="s">
        <v>952</v>
      </c>
      <c r="BA737" s="248">
        <v>0</v>
      </c>
      <c r="BB737" s="235"/>
      <c r="BC737" s="247" t="s">
        <v>1212</v>
      </c>
      <c r="BD737" s="247"/>
      <c r="BE737" s="247"/>
      <c r="BF737" s="247"/>
      <c r="BG737" s="247"/>
      <c r="BH737" s="247"/>
      <c r="BI737" s="247"/>
      <c r="BJ737" s="247"/>
      <c r="BK737" s="247"/>
      <c r="BL737" s="247"/>
      <c r="BM737" s="247"/>
      <c r="BN737" s="247"/>
      <c r="BO737" s="247"/>
      <c r="BP737" s="248"/>
    </row>
    <row r="738" spans="1:68" ht="14.25" customHeight="1">
      <c r="A738" s="233">
        <v>81</v>
      </c>
      <c r="B738" s="234">
        <v>18</v>
      </c>
      <c r="C738" s="244" t="s">
        <v>928</v>
      </c>
      <c r="D738" s="244" t="s">
        <v>1046</v>
      </c>
      <c r="E738" s="244" t="s">
        <v>1215</v>
      </c>
      <c r="F738" s="245">
        <v>-28</v>
      </c>
      <c r="G738" s="245">
        <v>-21.8</v>
      </c>
      <c r="H738" s="245">
        <v>-12.1</v>
      </c>
      <c r="I738" s="245">
        <v>0.8</v>
      </c>
      <c r="J738" s="245">
        <v>9.5</v>
      </c>
      <c r="K738" s="245">
        <v>16.3</v>
      </c>
      <c r="L738" s="245">
        <v>19.899999999999999</v>
      </c>
      <c r="M738" s="245">
        <v>17.600000000000001</v>
      </c>
      <c r="N738" s="245">
        <v>10.8</v>
      </c>
      <c r="O738" s="245">
        <v>0.5</v>
      </c>
      <c r="P738" s="245">
        <v>-14.3</v>
      </c>
      <c r="Q738" s="245">
        <v>-25.3</v>
      </c>
      <c r="R738" s="246">
        <v>-2.2000000000000002</v>
      </c>
      <c r="S738" s="233">
        <v>18</v>
      </c>
      <c r="T738" s="247" t="s">
        <v>1216</v>
      </c>
      <c r="U738" s="245">
        <v>-41</v>
      </c>
      <c r="V738" s="245">
        <v>-40</v>
      </c>
      <c r="W738" s="245">
        <v>-39</v>
      </c>
      <c r="X738" s="245">
        <v>-37</v>
      </c>
      <c r="Y738" s="245">
        <v>-33</v>
      </c>
      <c r="Z738" s="245">
        <v>-51</v>
      </c>
      <c r="AA738" s="245">
        <v>11.2</v>
      </c>
      <c r="AB738" s="245">
        <v>179</v>
      </c>
      <c r="AC738" s="245">
        <v>-17.100000000000001</v>
      </c>
      <c r="AD738" s="245">
        <v>229</v>
      </c>
      <c r="AE738" s="245">
        <v>-12.4</v>
      </c>
      <c r="AF738" s="245">
        <v>242</v>
      </c>
      <c r="AG738" s="245">
        <v>-11.2</v>
      </c>
      <c r="AH738" s="245">
        <v>75</v>
      </c>
      <c r="AI738" s="245">
        <v>72</v>
      </c>
      <c r="AJ738" s="245">
        <v>58</v>
      </c>
      <c r="AK738" s="245" t="s">
        <v>944</v>
      </c>
      <c r="AL738" s="245" t="s">
        <v>931</v>
      </c>
      <c r="AM738" s="246" t="s">
        <v>931</v>
      </c>
      <c r="AN738" s="235">
        <v>18</v>
      </c>
      <c r="AO738" s="247" t="s">
        <v>1217</v>
      </c>
      <c r="AP738" s="247">
        <v>980</v>
      </c>
      <c r="AQ738" s="247">
        <v>23.2</v>
      </c>
      <c r="AR738" s="247">
        <v>27.3</v>
      </c>
      <c r="AS738" s="247">
        <v>25.6</v>
      </c>
      <c r="AT738" s="247">
        <v>39</v>
      </c>
      <c r="AU738" s="247">
        <v>11.7</v>
      </c>
      <c r="AV738" s="247">
        <v>79</v>
      </c>
      <c r="AW738" s="247">
        <v>63</v>
      </c>
      <c r="AX738" s="247">
        <v>550</v>
      </c>
      <c r="AY738" s="247" t="s">
        <v>965</v>
      </c>
      <c r="AZ738" s="247" t="s">
        <v>946</v>
      </c>
      <c r="BA738" s="248" t="s">
        <v>934</v>
      </c>
      <c r="BB738" s="235"/>
      <c r="BC738" s="247" t="s">
        <v>1215</v>
      </c>
      <c r="BD738" s="247"/>
      <c r="BE738" s="247"/>
      <c r="BF738" s="247"/>
      <c r="BG738" s="247"/>
      <c r="BH738" s="247"/>
      <c r="BI738" s="247"/>
      <c r="BJ738" s="247"/>
      <c r="BK738" s="247"/>
      <c r="BL738" s="247"/>
      <c r="BM738" s="247"/>
      <c r="BN738" s="247"/>
      <c r="BO738" s="247"/>
      <c r="BP738" s="248"/>
    </row>
    <row r="739" spans="1:68" ht="14.25" customHeight="1">
      <c r="A739" s="233">
        <v>82</v>
      </c>
      <c r="B739" s="234">
        <v>85</v>
      </c>
      <c r="C739" s="244" t="s">
        <v>928</v>
      </c>
      <c r="D739" s="244" t="s">
        <v>1001</v>
      </c>
      <c r="E739" s="244" t="s">
        <v>150</v>
      </c>
      <c r="F739" s="245">
        <v>-20.7</v>
      </c>
      <c r="G739" s="245">
        <v>-19.399999999999999</v>
      </c>
      <c r="H739" s="245">
        <v>-10.199999999999999</v>
      </c>
      <c r="I739" s="245">
        <v>-1.2</v>
      </c>
      <c r="J739" s="245">
        <v>6.2</v>
      </c>
      <c r="K739" s="245">
        <v>14</v>
      </c>
      <c r="L739" s="245">
        <v>17.8</v>
      </c>
      <c r="M739" s="245">
        <v>14.8</v>
      </c>
      <c r="N739" s="245">
        <v>8.1</v>
      </c>
      <c r="O739" s="245">
        <v>-0.5</v>
      </c>
      <c r="P739" s="245">
        <v>-9.8000000000000007</v>
      </c>
      <c r="Q739" s="245">
        <v>-18.399999999999999</v>
      </c>
      <c r="R739" s="246">
        <v>-1.6</v>
      </c>
      <c r="S739" s="233">
        <v>85</v>
      </c>
      <c r="T739" s="247" t="s">
        <v>1218</v>
      </c>
      <c r="U739" s="245">
        <v>-47</v>
      </c>
      <c r="V739" s="245">
        <v>-46</v>
      </c>
      <c r="W739" s="245">
        <v>-45</v>
      </c>
      <c r="X739" s="245">
        <v>-43</v>
      </c>
      <c r="Y739" s="245">
        <v>-26</v>
      </c>
      <c r="Z739" s="245">
        <v>-44</v>
      </c>
      <c r="AA739" s="245">
        <v>8.1999999999999993</v>
      </c>
      <c r="AB739" s="245">
        <v>188</v>
      </c>
      <c r="AC739" s="245">
        <v>-12.7</v>
      </c>
      <c r="AD739" s="245">
        <v>249</v>
      </c>
      <c r="AE739" s="245">
        <v>-8.6</v>
      </c>
      <c r="AF739" s="245">
        <v>266</v>
      </c>
      <c r="AG739" s="245">
        <v>-7.5</v>
      </c>
      <c r="AH739" s="245">
        <v>81</v>
      </c>
      <c r="AI739" s="245">
        <v>78</v>
      </c>
      <c r="AJ739" s="245">
        <v>95</v>
      </c>
      <c r="AK739" s="245" t="s">
        <v>990</v>
      </c>
      <c r="AL739" s="245">
        <v>3.4</v>
      </c>
      <c r="AM739" s="246">
        <v>2.1</v>
      </c>
      <c r="AN739" s="235">
        <v>85</v>
      </c>
      <c r="AO739" s="247" t="s">
        <v>1219</v>
      </c>
      <c r="AP739" s="247">
        <v>970</v>
      </c>
      <c r="AQ739" s="247">
        <v>21.1</v>
      </c>
      <c r="AR739" s="247">
        <v>25.3</v>
      </c>
      <c r="AS739" s="247">
        <v>23.5</v>
      </c>
      <c r="AT739" s="247">
        <v>33</v>
      </c>
      <c r="AU739" s="247">
        <v>10.6</v>
      </c>
      <c r="AV739" s="247">
        <v>72</v>
      </c>
      <c r="AW739" s="247">
        <v>56</v>
      </c>
      <c r="AX739" s="247">
        <v>311</v>
      </c>
      <c r="AY739" s="247">
        <v>102</v>
      </c>
      <c r="AZ739" s="247" t="s">
        <v>959</v>
      </c>
      <c r="BA739" s="248">
        <v>0</v>
      </c>
      <c r="BB739" s="235">
        <v>69</v>
      </c>
      <c r="BC739" s="247" t="s">
        <v>150</v>
      </c>
      <c r="BD739" s="247">
        <v>1.1000000000000001</v>
      </c>
      <c r="BE739" s="247">
        <v>1.2</v>
      </c>
      <c r="BF739" s="247">
        <v>2.1</v>
      </c>
      <c r="BG739" s="247">
        <v>3.6</v>
      </c>
      <c r="BH739" s="247">
        <v>5.5</v>
      </c>
      <c r="BI739" s="247">
        <v>9.9</v>
      </c>
      <c r="BJ739" s="247">
        <v>14.2</v>
      </c>
      <c r="BK739" s="247">
        <v>12.6</v>
      </c>
      <c r="BL739" s="247">
        <v>8.1999999999999993</v>
      </c>
      <c r="BM739" s="247">
        <v>4.4000000000000004</v>
      </c>
      <c r="BN739" s="247">
        <v>2.6</v>
      </c>
      <c r="BO739" s="247">
        <v>1.4</v>
      </c>
      <c r="BP739" s="248">
        <v>5.6</v>
      </c>
    </row>
    <row r="740" spans="1:68" ht="14.25" customHeight="1">
      <c r="A740" s="233">
        <v>83</v>
      </c>
      <c r="B740" s="234">
        <v>469</v>
      </c>
      <c r="C740" s="244" t="s">
        <v>1220</v>
      </c>
      <c r="D740" s="244" t="s">
        <v>1221</v>
      </c>
      <c r="E740" s="244" t="s">
        <v>1222</v>
      </c>
      <c r="F740" s="245">
        <v>-4.5</v>
      </c>
      <c r="G740" s="245">
        <v>-3.5</v>
      </c>
      <c r="H740" s="245">
        <v>0.7</v>
      </c>
      <c r="I740" s="245">
        <v>7.3</v>
      </c>
      <c r="J740" s="245">
        <v>13.6</v>
      </c>
      <c r="K740" s="245">
        <v>16.7</v>
      </c>
      <c r="L740" s="245">
        <v>18.399999999999999</v>
      </c>
      <c r="M740" s="245">
        <v>17.399999999999999</v>
      </c>
      <c r="N740" s="245">
        <v>13.3</v>
      </c>
      <c r="O740" s="245">
        <v>7.7</v>
      </c>
      <c r="P740" s="245">
        <v>2.6</v>
      </c>
      <c r="Q740" s="245">
        <v>-1.8</v>
      </c>
      <c r="R740" s="246">
        <v>7.3</v>
      </c>
      <c r="S740" s="233">
        <v>469</v>
      </c>
      <c r="T740" s="247" t="s">
        <v>1223</v>
      </c>
      <c r="U740" s="245">
        <v>-30</v>
      </c>
      <c r="V740" s="245">
        <v>-25</v>
      </c>
      <c r="W740" s="245">
        <v>-24</v>
      </c>
      <c r="X740" s="245">
        <v>-21</v>
      </c>
      <c r="Y740" s="245">
        <v>-7</v>
      </c>
      <c r="Z740" s="245">
        <v>-36</v>
      </c>
      <c r="AA740" s="245">
        <v>5.5</v>
      </c>
      <c r="AB740" s="245">
        <v>100</v>
      </c>
      <c r="AC740" s="245">
        <v>-3.1</v>
      </c>
      <c r="AD740" s="245">
        <v>186</v>
      </c>
      <c r="AE740" s="245">
        <v>0.1</v>
      </c>
      <c r="AF740" s="245">
        <v>206</v>
      </c>
      <c r="AG740" s="245">
        <v>1</v>
      </c>
      <c r="AH740" s="245">
        <v>85</v>
      </c>
      <c r="AI740" s="245">
        <v>80</v>
      </c>
      <c r="AJ740" s="245">
        <v>185</v>
      </c>
      <c r="AK740" s="245" t="s">
        <v>971</v>
      </c>
      <c r="AL740" s="245">
        <v>3.7</v>
      </c>
      <c r="AM740" s="246">
        <v>3.4</v>
      </c>
      <c r="AN740" s="235">
        <v>469</v>
      </c>
      <c r="AO740" s="247" t="s">
        <v>1224</v>
      </c>
      <c r="AP740" s="247">
        <v>1000</v>
      </c>
      <c r="AQ740" s="247">
        <v>22.5</v>
      </c>
      <c r="AR740" s="247">
        <v>27</v>
      </c>
      <c r="AS740" s="247">
        <v>24</v>
      </c>
      <c r="AT740" s="247">
        <v>37</v>
      </c>
      <c r="AU740" s="247">
        <v>10.8</v>
      </c>
      <c r="AV740" s="247">
        <v>70</v>
      </c>
      <c r="AW740" s="247">
        <v>56</v>
      </c>
      <c r="AX740" s="247">
        <v>423</v>
      </c>
      <c r="AY740" s="247">
        <v>86</v>
      </c>
      <c r="AZ740" s="247" t="s">
        <v>952</v>
      </c>
      <c r="BA740" s="248">
        <v>2.9</v>
      </c>
      <c r="BB740" s="235"/>
      <c r="BC740" s="247" t="s">
        <v>1223</v>
      </c>
      <c r="BD740" s="247"/>
      <c r="BE740" s="247"/>
      <c r="BF740" s="247"/>
      <c r="BG740" s="247"/>
      <c r="BH740" s="247"/>
      <c r="BI740" s="247"/>
      <c r="BJ740" s="247"/>
      <c r="BK740" s="247"/>
      <c r="BL740" s="247"/>
      <c r="BM740" s="247"/>
      <c r="BN740" s="247"/>
      <c r="BO740" s="247"/>
      <c r="BP740" s="248"/>
    </row>
    <row r="741" spans="1:68" ht="14.25" customHeight="1">
      <c r="A741" s="233">
        <v>84</v>
      </c>
      <c r="B741" s="234">
        <v>202</v>
      </c>
      <c r="C741" s="244" t="s">
        <v>928</v>
      </c>
      <c r="D741" s="244" t="s">
        <v>1039</v>
      </c>
      <c r="E741" s="244" t="s">
        <v>1225</v>
      </c>
      <c r="F741" s="245">
        <v>-19.600000000000001</v>
      </c>
      <c r="G741" s="245">
        <v>-19.2</v>
      </c>
      <c r="H741" s="245">
        <v>-16.7</v>
      </c>
      <c r="I741" s="245">
        <v>-8.6999999999999993</v>
      </c>
      <c r="J741" s="245">
        <v>-0.5</v>
      </c>
      <c r="K741" s="245">
        <v>5.8</v>
      </c>
      <c r="L741" s="245">
        <v>11.9</v>
      </c>
      <c r="M741" s="245">
        <v>12.2</v>
      </c>
      <c r="N741" s="245">
        <v>7.8</v>
      </c>
      <c r="O741" s="245">
        <v>-1.1000000000000001</v>
      </c>
      <c r="P741" s="245">
        <v>-10.7</v>
      </c>
      <c r="Q741" s="245">
        <v>-15.8</v>
      </c>
      <c r="R741" s="246">
        <v>-4.5999999999999996</v>
      </c>
      <c r="S741" s="233">
        <v>202</v>
      </c>
      <c r="T741" s="247" t="s">
        <v>1226</v>
      </c>
      <c r="U741" s="245">
        <v>-41</v>
      </c>
      <c r="V741" s="245">
        <v>-38</v>
      </c>
      <c r="W741" s="245">
        <v>-38</v>
      </c>
      <c r="X741" s="245">
        <v>-36</v>
      </c>
      <c r="Y741" s="245">
        <v>-25</v>
      </c>
      <c r="Z741" s="245">
        <v>-46</v>
      </c>
      <c r="AA741" s="245">
        <v>7.8</v>
      </c>
      <c r="AB741" s="245">
        <v>218</v>
      </c>
      <c r="AC741" s="245">
        <v>-12.7</v>
      </c>
      <c r="AD741" s="245">
        <v>285</v>
      </c>
      <c r="AE741" s="245">
        <v>-8.6999999999999993</v>
      </c>
      <c r="AF741" s="245">
        <v>309</v>
      </c>
      <c r="AG741" s="245">
        <v>-7.4</v>
      </c>
      <c r="AH741" s="245">
        <v>77</v>
      </c>
      <c r="AI741" s="245">
        <v>74</v>
      </c>
      <c r="AJ741" s="245">
        <v>211</v>
      </c>
      <c r="AK741" s="245" t="s">
        <v>944</v>
      </c>
      <c r="AL741" s="245">
        <v>11.7</v>
      </c>
      <c r="AM741" s="246">
        <v>5.6</v>
      </c>
      <c r="AN741" s="235">
        <v>202</v>
      </c>
      <c r="AO741" s="247" t="s">
        <v>1227</v>
      </c>
      <c r="AP741" s="247">
        <v>1010</v>
      </c>
      <c r="AQ741" s="247">
        <v>13.3</v>
      </c>
      <c r="AR741" s="247">
        <v>17.899999999999999</v>
      </c>
      <c r="AS741" s="247">
        <v>15.7</v>
      </c>
      <c r="AT741" s="247">
        <v>29</v>
      </c>
      <c r="AU741" s="247">
        <v>6.7</v>
      </c>
      <c r="AV741" s="247">
        <v>84</v>
      </c>
      <c r="AW741" s="247">
        <v>77</v>
      </c>
      <c r="AX741" s="247">
        <v>334</v>
      </c>
      <c r="AY741" s="247">
        <v>59</v>
      </c>
      <c r="AZ741" s="247" t="s">
        <v>978</v>
      </c>
      <c r="BA741" s="248">
        <v>0</v>
      </c>
      <c r="BB741" s="235">
        <v>176</v>
      </c>
      <c r="BC741" s="247" t="s">
        <v>1225</v>
      </c>
      <c r="BD741" s="247">
        <v>1.3</v>
      </c>
      <c r="BE741" s="247">
        <v>1.3</v>
      </c>
      <c r="BF741" s="247">
        <v>1.6</v>
      </c>
      <c r="BG741" s="247">
        <v>2.9</v>
      </c>
      <c r="BH741" s="247">
        <v>5.2</v>
      </c>
      <c r="BI741" s="247">
        <v>8</v>
      </c>
      <c r="BJ741" s="247">
        <v>11.6</v>
      </c>
      <c r="BK741" s="247">
        <v>11.9</v>
      </c>
      <c r="BL741" s="247">
        <v>8.6999999999999993</v>
      </c>
      <c r="BM741" s="247">
        <v>4.5999999999999996</v>
      </c>
      <c r="BN741" s="247">
        <v>2.4</v>
      </c>
      <c r="BO741" s="247">
        <v>1.8</v>
      </c>
      <c r="BP741" s="248">
        <v>5.0999999999999996</v>
      </c>
    </row>
    <row r="742" spans="1:68" ht="14.25" customHeight="1">
      <c r="A742" s="233">
        <v>85</v>
      </c>
      <c r="B742" s="234">
        <v>53</v>
      </c>
      <c r="C742" s="244" t="s">
        <v>928</v>
      </c>
      <c r="D742" s="244" t="s">
        <v>1228</v>
      </c>
      <c r="E742" s="244" t="s">
        <v>1229</v>
      </c>
      <c r="F742" s="245">
        <v>-9.1</v>
      </c>
      <c r="G742" s="245">
        <v>-8.4</v>
      </c>
      <c r="H742" s="245">
        <v>-3.2</v>
      </c>
      <c r="I742" s="245">
        <v>5.9</v>
      </c>
      <c r="J742" s="245">
        <v>12.8</v>
      </c>
      <c r="K742" s="245">
        <v>16.7</v>
      </c>
      <c r="L742" s="245">
        <v>18.100000000000001</v>
      </c>
      <c r="M742" s="245">
        <v>16.899999999999999</v>
      </c>
      <c r="N742" s="245">
        <v>11.5</v>
      </c>
      <c r="O742" s="245">
        <v>5</v>
      </c>
      <c r="P742" s="245">
        <v>-0.4</v>
      </c>
      <c r="Q742" s="245">
        <v>-5.2</v>
      </c>
      <c r="R742" s="246">
        <v>5.0999999999999996</v>
      </c>
      <c r="S742" s="233">
        <v>53</v>
      </c>
      <c r="T742" s="247" t="s">
        <v>1230</v>
      </c>
      <c r="U742" s="245">
        <v>-34</v>
      </c>
      <c r="V742" s="245">
        <v>-30</v>
      </c>
      <c r="W742" s="245">
        <v>-30</v>
      </c>
      <c r="X742" s="245">
        <v>-26</v>
      </c>
      <c r="Y742" s="245">
        <v>-14</v>
      </c>
      <c r="Z742" s="245">
        <v>-42</v>
      </c>
      <c r="AA742" s="245">
        <v>6.6</v>
      </c>
      <c r="AB742" s="245">
        <v>134</v>
      </c>
      <c r="AC742" s="245">
        <v>-5.6</v>
      </c>
      <c r="AD742" s="245">
        <v>205</v>
      </c>
      <c r="AE742" s="245">
        <v>-2.2999999999999998</v>
      </c>
      <c r="AF742" s="245">
        <v>223</v>
      </c>
      <c r="AG742" s="245">
        <v>-1.4</v>
      </c>
      <c r="AH742" s="245">
        <v>85</v>
      </c>
      <c r="AI742" s="245">
        <v>84</v>
      </c>
      <c r="AJ742" s="245">
        <v>177</v>
      </c>
      <c r="AK742" s="245" t="s">
        <v>990</v>
      </c>
      <c r="AL742" s="245">
        <v>6.3</v>
      </c>
      <c r="AM742" s="246">
        <v>4.7</v>
      </c>
      <c r="AN742" s="235">
        <v>53</v>
      </c>
      <c r="AO742" s="247" t="s">
        <v>1231</v>
      </c>
      <c r="AP742" s="247">
        <v>990</v>
      </c>
      <c r="AQ742" s="247">
        <v>20.399999999999999</v>
      </c>
      <c r="AR742" s="247">
        <v>24.7</v>
      </c>
      <c r="AS742" s="247">
        <v>22.8</v>
      </c>
      <c r="AT742" s="247">
        <v>38</v>
      </c>
      <c r="AU742" s="247">
        <v>9.6999999999999993</v>
      </c>
      <c r="AV742" s="247">
        <v>73</v>
      </c>
      <c r="AW742" s="247">
        <v>53</v>
      </c>
      <c r="AX742" s="247">
        <v>420</v>
      </c>
      <c r="AY742" s="247" t="s">
        <v>965</v>
      </c>
      <c r="AZ742" s="247" t="s">
        <v>959</v>
      </c>
      <c r="BA742" s="248">
        <v>0</v>
      </c>
      <c r="BB742" s="235">
        <v>39</v>
      </c>
      <c r="BC742" s="247" t="s">
        <v>1229</v>
      </c>
      <c r="BD742" s="247">
        <v>3.1</v>
      </c>
      <c r="BE742" s="247">
        <v>3.2</v>
      </c>
      <c r="BF742" s="247">
        <v>4.0999999999999996</v>
      </c>
      <c r="BG742" s="247">
        <v>6.8</v>
      </c>
      <c r="BH742" s="247">
        <v>9.6</v>
      </c>
      <c r="BI742" s="247">
        <v>12.9</v>
      </c>
      <c r="BJ742" s="247">
        <v>15</v>
      </c>
      <c r="BK742" s="247">
        <v>14.3</v>
      </c>
      <c r="BL742" s="247">
        <v>10.7</v>
      </c>
      <c r="BM742" s="247">
        <v>7.5</v>
      </c>
      <c r="BN742" s="247">
        <v>5.4</v>
      </c>
      <c r="BO742" s="247">
        <v>4</v>
      </c>
      <c r="BP742" s="248">
        <v>8.1</v>
      </c>
    </row>
    <row r="743" spans="1:68" ht="14.25" customHeight="1">
      <c r="A743" s="233">
        <v>86</v>
      </c>
      <c r="B743" s="234">
        <v>311</v>
      </c>
      <c r="C743" s="244" t="s">
        <v>928</v>
      </c>
      <c r="D743" s="244" t="s">
        <v>1232</v>
      </c>
      <c r="E743" s="244" t="s">
        <v>1233</v>
      </c>
      <c r="F743" s="245">
        <v>-14.3</v>
      </c>
      <c r="G743" s="245">
        <v>-13.7</v>
      </c>
      <c r="H743" s="245">
        <v>-8</v>
      </c>
      <c r="I743" s="245">
        <v>2.4</v>
      </c>
      <c r="J743" s="245">
        <v>11.4</v>
      </c>
      <c r="K743" s="245">
        <v>16.3</v>
      </c>
      <c r="L743" s="245">
        <v>18.100000000000001</v>
      </c>
      <c r="M743" s="245">
        <v>16.399999999999999</v>
      </c>
      <c r="N743" s="245">
        <v>10.199999999999999</v>
      </c>
      <c r="O743" s="245">
        <v>2.1</v>
      </c>
      <c r="P743" s="245">
        <v>-5.8</v>
      </c>
      <c r="Q743" s="245">
        <v>-11.6</v>
      </c>
      <c r="R743" s="246">
        <v>2</v>
      </c>
      <c r="S743" s="233">
        <v>311</v>
      </c>
      <c r="T743" s="247" t="s">
        <v>1234</v>
      </c>
      <c r="U743" s="245">
        <v>-40</v>
      </c>
      <c r="V743" s="245">
        <v>-36</v>
      </c>
      <c r="W743" s="245">
        <v>-36</v>
      </c>
      <c r="X743" s="245">
        <v>-33</v>
      </c>
      <c r="Y743" s="245">
        <v>-19</v>
      </c>
      <c r="Z743" s="245">
        <v>-47</v>
      </c>
      <c r="AA743" s="245">
        <v>6.7</v>
      </c>
      <c r="AB743" s="245">
        <v>164</v>
      </c>
      <c r="AC743" s="245">
        <v>-9.1999999999999993</v>
      </c>
      <c r="AD743" s="245">
        <v>221</v>
      </c>
      <c r="AE743" s="245">
        <v>-5.8</v>
      </c>
      <c r="AF743" s="245">
        <v>235</v>
      </c>
      <c r="AG743" s="245">
        <v>-4.9000000000000004</v>
      </c>
      <c r="AH743" s="245">
        <v>86</v>
      </c>
      <c r="AI743" s="245">
        <v>85</v>
      </c>
      <c r="AJ743" s="245">
        <v>264</v>
      </c>
      <c r="AK743" s="245" t="s">
        <v>971</v>
      </c>
      <c r="AL743" s="245">
        <v>7.5</v>
      </c>
      <c r="AM743" s="246">
        <v>5.4</v>
      </c>
      <c r="AN743" s="235">
        <v>311</v>
      </c>
      <c r="AO743" s="247" t="s">
        <v>1235</v>
      </c>
      <c r="AP743" s="247">
        <v>975</v>
      </c>
      <c r="AQ743" s="247">
        <v>21.5</v>
      </c>
      <c r="AR743" s="247">
        <v>25.7</v>
      </c>
      <c r="AS743" s="247">
        <v>23.9</v>
      </c>
      <c r="AT743" s="247">
        <v>38</v>
      </c>
      <c r="AU743" s="247">
        <v>11.1</v>
      </c>
      <c r="AV743" s="247">
        <v>69</v>
      </c>
      <c r="AW743" s="247">
        <v>55</v>
      </c>
      <c r="AX743" s="247">
        <v>289</v>
      </c>
      <c r="AY743" s="247" t="s">
        <v>965</v>
      </c>
      <c r="AZ743" s="247" t="s">
        <v>959</v>
      </c>
      <c r="BA743" s="248">
        <v>0</v>
      </c>
      <c r="BB743" s="235"/>
      <c r="BC743" s="247" t="s">
        <v>1233</v>
      </c>
      <c r="BD743" s="247"/>
      <c r="BE743" s="247"/>
      <c r="BF743" s="247"/>
      <c r="BG743" s="247"/>
      <c r="BH743" s="247"/>
      <c r="BI743" s="247"/>
      <c r="BJ743" s="247"/>
      <c r="BK743" s="247"/>
      <c r="BL743" s="247"/>
      <c r="BM743" s="247"/>
      <c r="BN743" s="247"/>
      <c r="BO743" s="247"/>
      <c r="BP743" s="248"/>
    </row>
    <row r="744" spans="1:68" ht="14.25" customHeight="1">
      <c r="A744" s="233">
        <v>87</v>
      </c>
      <c r="B744" s="234">
        <v>583</v>
      </c>
      <c r="C744" s="244" t="s">
        <v>1015</v>
      </c>
      <c r="D744" s="244" t="s">
        <v>1236</v>
      </c>
      <c r="E744" s="244" t="s">
        <v>1237</v>
      </c>
      <c r="F744" s="245">
        <v>0.4</v>
      </c>
      <c r="G744" s="245">
        <v>2.7</v>
      </c>
      <c r="H744" s="245">
        <v>8.4</v>
      </c>
      <c r="I744" s="245">
        <v>16.5</v>
      </c>
      <c r="J744" s="245">
        <v>22.3</v>
      </c>
      <c r="K744" s="245">
        <v>26.7</v>
      </c>
      <c r="L744" s="245">
        <v>28.4</v>
      </c>
      <c r="M744" s="245">
        <v>25.7</v>
      </c>
      <c r="N744" s="245">
        <v>20.100000000000001</v>
      </c>
      <c r="O744" s="245">
        <v>13.1</v>
      </c>
      <c r="P744" s="245">
        <v>6.7</v>
      </c>
      <c r="Q744" s="245">
        <v>2.2999999999999998</v>
      </c>
      <c r="R744" s="246">
        <v>14.4</v>
      </c>
      <c r="S744" s="233">
        <v>572</v>
      </c>
      <c r="T744" s="247" t="s">
        <v>1238</v>
      </c>
      <c r="U744" s="245">
        <v>-19</v>
      </c>
      <c r="V744" s="245">
        <v>-16</v>
      </c>
      <c r="W744" s="245">
        <v>-15</v>
      </c>
      <c r="X744" s="245" t="s">
        <v>965</v>
      </c>
      <c r="Y744" s="245">
        <v>-3</v>
      </c>
      <c r="Z744" s="245">
        <v>-25</v>
      </c>
      <c r="AA744" s="245">
        <v>10.1</v>
      </c>
      <c r="AB744" s="245">
        <v>0</v>
      </c>
      <c r="AC744" s="245" t="s">
        <v>830</v>
      </c>
      <c r="AD744" s="245">
        <v>126</v>
      </c>
      <c r="AE744" s="245">
        <v>3.1</v>
      </c>
      <c r="AF744" s="245" t="s">
        <v>933</v>
      </c>
      <c r="AG744" s="245" t="s">
        <v>931</v>
      </c>
      <c r="AH744" s="245" t="s">
        <v>956</v>
      </c>
      <c r="AI744" s="245" t="s">
        <v>956</v>
      </c>
      <c r="AJ744" s="245" t="s">
        <v>1018</v>
      </c>
      <c r="AK744" s="245" t="s">
        <v>931</v>
      </c>
      <c r="AL744" s="245">
        <v>4.5</v>
      </c>
      <c r="AM744" s="246" t="s">
        <v>931</v>
      </c>
      <c r="AN744" s="235">
        <v>573</v>
      </c>
      <c r="AO744" s="247" t="s">
        <v>1239</v>
      </c>
      <c r="AP744" s="247">
        <v>990</v>
      </c>
      <c r="AQ744" s="247">
        <v>34.1</v>
      </c>
      <c r="AR744" s="247">
        <v>38.4</v>
      </c>
      <c r="AS744" s="247">
        <v>36.700000000000003</v>
      </c>
      <c r="AT744" s="247">
        <v>46</v>
      </c>
      <c r="AU744" s="247">
        <v>16.399999999999999</v>
      </c>
      <c r="AV744" s="247" t="s">
        <v>958</v>
      </c>
      <c r="AW744" s="247" t="s">
        <v>931</v>
      </c>
      <c r="AX744" s="247" t="s">
        <v>931</v>
      </c>
      <c r="AY744" s="247">
        <v>35</v>
      </c>
      <c r="AZ744" s="247" t="s">
        <v>933</v>
      </c>
      <c r="BA744" s="248">
        <v>0</v>
      </c>
      <c r="BB744" s="235"/>
      <c r="BC744" s="247" t="s">
        <v>1238</v>
      </c>
      <c r="BD744" s="247"/>
      <c r="BE744" s="247"/>
      <c r="BF744" s="247"/>
      <c r="BG744" s="247"/>
      <c r="BH744" s="247"/>
      <c r="BI744" s="247"/>
      <c r="BJ744" s="247"/>
      <c r="BK744" s="247"/>
      <c r="BL744" s="247"/>
      <c r="BM744" s="247"/>
      <c r="BN744" s="247"/>
      <c r="BO744" s="247"/>
      <c r="BP744" s="248"/>
    </row>
    <row r="745" spans="1:68" ht="14.25" customHeight="1">
      <c r="A745" s="233">
        <v>88</v>
      </c>
      <c r="B745" s="234">
        <v>405</v>
      </c>
      <c r="C745" s="244" t="s">
        <v>928</v>
      </c>
      <c r="D745" s="244" t="s">
        <v>969</v>
      </c>
      <c r="E745" s="244" t="s">
        <v>1240</v>
      </c>
      <c r="F745" s="245">
        <v>-37.6</v>
      </c>
      <c r="G745" s="245">
        <v>-33.6</v>
      </c>
      <c r="H745" s="245">
        <v>-21.6</v>
      </c>
      <c r="I745" s="245">
        <v>-6.9</v>
      </c>
      <c r="J745" s="245">
        <v>5.0999999999999996</v>
      </c>
      <c r="K745" s="245">
        <v>13.2</v>
      </c>
      <c r="L745" s="245">
        <v>16.5</v>
      </c>
      <c r="M745" s="245">
        <v>13</v>
      </c>
      <c r="N745" s="245">
        <v>4.7</v>
      </c>
      <c r="O745" s="245">
        <v>-7.5</v>
      </c>
      <c r="P745" s="245">
        <v>-26</v>
      </c>
      <c r="Q745" s="245">
        <v>-36.4</v>
      </c>
      <c r="R745" s="246">
        <v>-9.8000000000000007</v>
      </c>
      <c r="S745" s="233">
        <v>405</v>
      </c>
      <c r="T745" s="247" t="s">
        <v>1241</v>
      </c>
      <c r="U745" s="245">
        <v>-57</v>
      </c>
      <c r="V745" s="245">
        <v>-55</v>
      </c>
      <c r="W745" s="245">
        <v>-55</v>
      </c>
      <c r="X745" s="245">
        <v>-52</v>
      </c>
      <c r="Y745" s="245">
        <v>-43</v>
      </c>
      <c r="Z745" s="245">
        <v>-61</v>
      </c>
      <c r="AA745" s="245">
        <v>12.3</v>
      </c>
      <c r="AB745" s="245">
        <v>218</v>
      </c>
      <c r="AC745" s="245">
        <v>-23.1</v>
      </c>
      <c r="AD745" s="245">
        <v>266</v>
      </c>
      <c r="AE745" s="245">
        <v>-18.2</v>
      </c>
      <c r="AF745" s="245">
        <v>280</v>
      </c>
      <c r="AG745" s="245">
        <v>-16.7</v>
      </c>
      <c r="AH745" s="245">
        <v>74</v>
      </c>
      <c r="AI745" s="245">
        <v>72</v>
      </c>
      <c r="AJ745" s="245">
        <v>56</v>
      </c>
      <c r="AK745" s="245" t="s">
        <v>931</v>
      </c>
      <c r="AL745" s="245" t="s">
        <v>931</v>
      </c>
      <c r="AM745" s="246">
        <v>0.9</v>
      </c>
      <c r="AN745" s="235">
        <v>405</v>
      </c>
      <c r="AO745" s="247" t="s">
        <v>1242</v>
      </c>
      <c r="AP745" s="247">
        <v>975</v>
      </c>
      <c r="AQ745" s="247">
        <v>22.7</v>
      </c>
      <c r="AR745" s="247">
        <v>26.8</v>
      </c>
      <c r="AS745" s="247">
        <v>25.1</v>
      </c>
      <c r="AT745" s="247">
        <v>38</v>
      </c>
      <c r="AU745" s="247">
        <v>16.899999999999999</v>
      </c>
      <c r="AV745" s="247">
        <v>72</v>
      </c>
      <c r="AW745" s="247">
        <v>50</v>
      </c>
      <c r="AX745" s="247">
        <v>255</v>
      </c>
      <c r="AY745" s="247">
        <v>34</v>
      </c>
      <c r="AZ745" s="247" t="s">
        <v>933</v>
      </c>
      <c r="BA745" s="248" t="s">
        <v>934</v>
      </c>
      <c r="BB745" s="235">
        <v>369</v>
      </c>
      <c r="BC745" s="247" t="s">
        <v>1241</v>
      </c>
      <c r="BD745" s="247">
        <v>0.3</v>
      </c>
      <c r="BE745" s="247">
        <v>0.4</v>
      </c>
      <c r="BF745" s="247">
        <v>1</v>
      </c>
      <c r="BG745" s="247">
        <v>2.5</v>
      </c>
      <c r="BH745" s="247">
        <v>5.0999999999999996</v>
      </c>
      <c r="BI745" s="247">
        <v>9.6</v>
      </c>
      <c r="BJ745" s="247">
        <v>13</v>
      </c>
      <c r="BK745" s="247">
        <v>11.5</v>
      </c>
      <c r="BL745" s="247">
        <v>6.7</v>
      </c>
      <c r="BM745" s="247">
        <v>3.1</v>
      </c>
      <c r="BN745" s="247">
        <v>0.8</v>
      </c>
      <c r="BO745" s="247">
        <v>0.3</v>
      </c>
      <c r="BP745" s="248">
        <v>4.5</v>
      </c>
    </row>
    <row r="746" spans="1:68" ht="14.25" customHeight="1">
      <c r="A746" s="233">
        <v>89</v>
      </c>
      <c r="B746" s="234">
        <v>19</v>
      </c>
      <c r="C746" s="244" t="s">
        <v>928</v>
      </c>
      <c r="D746" s="244" t="s">
        <v>1046</v>
      </c>
      <c r="E746" s="244" t="s">
        <v>1243</v>
      </c>
      <c r="F746" s="245">
        <v>-30.7</v>
      </c>
      <c r="G746" s="245">
        <v>-24.3</v>
      </c>
      <c r="H746" s="245">
        <v>-12.8</v>
      </c>
      <c r="I746" s="245">
        <v>-0.4</v>
      </c>
      <c r="J746" s="245">
        <v>8.8000000000000007</v>
      </c>
      <c r="K746" s="245">
        <v>15.2</v>
      </c>
      <c r="L746" s="245">
        <v>18.7</v>
      </c>
      <c r="M746" s="245">
        <v>16.2</v>
      </c>
      <c r="N746" s="245">
        <v>9.1</v>
      </c>
      <c r="O746" s="245">
        <v>-1</v>
      </c>
      <c r="P746" s="245">
        <v>-16.8</v>
      </c>
      <c r="Q746" s="245">
        <v>-28.1</v>
      </c>
      <c r="R746" s="246">
        <v>-3.8</v>
      </c>
      <c r="S746" s="233">
        <v>19</v>
      </c>
      <c r="T746" s="247" t="s">
        <v>1244</v>
      </c>
      <c r="U746" s="245">
        <v>-44</v>
      </c>
      <c r="V746" s="245">
        <v>-43</v>
      </c>
      <c r="W746" s="245">
        <v>-42</v>
      </c>
      <c r="X746" s="245">
        <v>-41</v>
      </c>
      <c r="Y746" s="245">
        <v>-36</v>
      </c>
      <c r="Z746" s="245">
        <v>-51</v>
      </c>
      <c r="AA746" s="245">
        <v>14.8</v>
      </c>
      <c r="AB746" s="245">
        <v>186</v>
      </c>
      <c r="AC746" s="245">
        <v>-18.399999999999999</v>
      </c>
      <c r="AD746" s="245">
        <v>236</v>
      </c>
      <c r="AE746" s="245">
        <v>-13.6</v>
      </c>
      <c r="AF746" s="245">
        <v>252</v>
      </c>
      <c r="AG746" s="245">
        <v>-12.2</v>
      </c>
      <c r="AH746" s="245">
        <v>76</v>
      </c>
      <c r="AI746" s="245">
        <v>69</v>
      </c>
      <c r="AJ746" s="245">
        <v>71</v>
      </c>
      <c r="AK746" s="245" t="s">
        <v>990</v>
      </c>
      <c r="AL746" s="245">
        <v>1.3</v>
      </c>
      <c r="AM746" s="246" t="s">
        <v>931</v>
      </c>
      <c r="AN746" s="235">
        <v>19</v>
      </c>
      <c r="AO746" s="247" t="s">
        <v>1245</v>
      </c>
      <c r="AP746" s="247">
        <v>970</v>
      </c>
      <c r="AQ746" s="247">
        <v>23.5</v>
      </c>
      <c r="AR746" s="247">
        <v>27.6</v>
      </c>
      <c r="AS746" s="247">
        <v>25.9</v>
      </c>
      <c r="AT746" s="247">
        <v>35</v>
      </c>
      <c r="AU746" s="247">
        <v>14.1</v>
      </c>
      <c r="AV746" s="247">
        <v>80</v>
      </c>
      <c r="AW746" s="247">
        <v>60</v>
      </c>
      <c r="AX746" s="247">
        <v>636</v>
      </c>
      <c r="AY746" s="247">
        <v>106</v>
      </c>
      <c r="AZ746" s="247" t="s">
        <v>1005</v>
      </c>
      <c r="BA746" s="248">
        <v>0</v>
      </c>
      <c r="BB746" s="235">
        <v>16</v>
      </c>
      <c r="BC746" s="247" t="s">
        <v>1243</v>
      </c>
      <c r="BD746" s="247">
        <v>0.4</v>
      </c>
      <c r="BE746" s="247">
        <v>0.7</v>
      </c>
      <c r="BF746" s="247">
        <v>1.6</v>
      </c>
      <c r="BG746" s="247">
        <v>3.6</v>
      </c>
      <c r="BH746" s="247">
        <v>6.5</v>
      </c>
      <c r="BI746" s="247">
        <v>12.3</v>
      </c>
      <c r="BJ746" s="247">
        <v>17</v>
      </c>
      <c r="BK746" s="247">
        <v>15.2</v>
      </c>
      <c r="BL746" s="247">
        <v>9.1</v>
      </c>
      <c r="BM746" s="247">
        <v>4.0999999999999996</v>
      </c>
      <c r="BN746" s="247">
        <v>1.6</v>
      </c>
      <c r="BO746" s="247">
        <v>0.6</v>
      </c>
      <c r="BP746" s="248">
        <v>6.1</v>
      </c>
    </row>
    <row r="747" spans="1:68" ht="14.25" customHeight="1">
      <c r="A747" s="233">
        <v>90</v>
      </c>
      <c r="B747" s="234">
        <v>213</v>
      </c>
      <c r="C747" s="244" t="s">
        <v>928</v>
      </c>
      <c r="D747" s="244" t="s">
        <v>1246</v>
      </c>
      <c r="E747" s="244" t="s">
        <v>1247</v>
      </c>
      <c r="F747" s="245">
        <v>-5.6</v>
      </c>
      <c r="G747" s="245">
        <v>-6.4</v>
      </c>
      <c r="H747" s="245">
        <v>-4.8</v>
      </c>
      <c r="I747" s="245">
        <v>-1.7</v>
      </c>
      <c r="J747" s="245">
        <v>2.5</v>
      </c>
      <c r="K747" s="245">
        <v>7</v>
      </c>
      <c r="L747" s="245">
        <v>10.199999999999999</v>
      </c>
      <c r="M747" s="245">
        <v>10.1</v>
      </c>
      <c r="N747" s="245">
        <v>6.8</v>
      </c>
      <c r="O747" s="245">
        <v>2</v>
      </c>
      <c r="P747" s="245">
        <v>-1.5</v>
      </c>
      <c r="Q747" s="245">
        <v>-3.8</v>
      </c>
      <c r="R747" s="246">
        <v>1.2</v>
      </c>
      <c r="S747" s="233">
        <v>213</v>
      </c>
      <c r="T747" s="247" t="s">
        <v>1248</v>
      </c>
      <c r="U747" s="245">
        <v>-22</v>
      </c>
      <c r="V747" s="245">
        <v>-20</v>
      </c>
      <c r="W747" s="245">
        <v>-19</v>
      </c>
      <c r="X747" s="245">
        <v>-17</v>
      </c>
      <c r="Y747" s="245">
        <v>-11</v>
      </c>
      <c r="Z747" s="245">
        <v>-27</v>
      </c>
      <c r="AA747" s="245">
        <v>5.8</v>
      </c>
      <c r="AB747" s="245">
        <v>176</v>
      </c>
      <c r="AC747" s="245">
        <v>-3.9</v>
      </c>
      <c r="AD747" s="245">
        <v>294</v>
      </c>
      <c r="AE747" s="245">
        <v>-0.7</v>
      </c>
      <c r="AF747" s="245">
        <v>331</v>
      </c>
      <c r="AG747" s="245">
        <v>0.4</v>
      </c>
      <c r="AH747" s="245">
        <v>84</v>
      </c>
      <c r="AI747" s="245">
        <v>83</v>
      </c>
      <c r="AJ747" s="245">
        <v>217</v>
      </c>
      <c r="AK747" s="245" t="s">
        <v>971</v>
      </c>
      <c r="AL747" s="245" t="s">
        <v>931</v>
      </c>
      <c r="AM747" s="246">
        <v>6.9</v>
      </c>
      <c r="AN747" s="235">
        <v>213</v>
      </c>
      <c r="AO747" s="247" t="s">
        <v>1249</v>
      </c>
      <c r="AP747" s="247">
        <v>1010</v>
      </c>
      <c r="AQ747" s="247">
        <v>11.6</v>
      </c>
      <c r="AR747" s="247">
        <v>16.3</v>
      </c>
      <c r="AS747" s="247">
        <v>14</v>
      </c>
      <c r="AT747" s="247">
        <v>32</v>
      </c>
      <c r="AU747" s="247">
        <v>6.5</v>
      </c>
      <c r="AV747" s="247">
        <v>82</v>
      </c>
      <c r="AW747" s="247">
        <v>78</v>
      </c>
      <c r="AX747" s="247">
        <v>323</v>
      </c>
      <c r="AY747" s="247">
        <v>52</v>
      </c>
      <c r="AZ747" s="247" t="s">
        <v>1038</v>
      </c>
      <c r="BA747" s="248" t="s">
        <v>934</v>
      </c>
      <c r="BB747" s="235">
        <v>188</v>
      </c>
      <c r="BC747" s="247" t="s">
        <v>1247</v>
      </c>
      <c r="BD747" s="247">
        <v>3.5</v>
      </c>
      <c r="BE747" s="247">
        <v>3.4</v>
      </c>
      <c r="BF747" s="247">
        <v>3.6</v>
      </c>
      <c r="BG747" s="247">
        <v>4.4000000000000004</v>
      </c>
      <c r="BH747" s="247">
        <v>5.7</v>
      </c>
      <c r="BI747" s="247">
        <v>7.9</v>
      </c>
      <c r="BJ747" s="247">
        <v>10.199999999999999</v>
      </c>
      <c r="BK747" s="247">
        <v>10.4</v>
      </c>
      <c r="BL747" s="247">
        <v>8.3000000000000007</v>
      </c>
      <c r="BM747" s="247">
        <v>6</v>
      </c>
      <c r="BN747" s="247">
        <v>4.5999999999999996</v>
      </c>
      <c r="BO747" s="247">
        <v>3.9</v>
      </c>
      <c r="BP747" s="248">
        <v>6.4</v>
      </c>
    </row>
    <row r="748" spans="1:68" ht="14.25" customHeight="1">
      <c r="A748" s="233">
        <v>91</v>
      </c>
      <c r="B748" s="234">
        <v>174</v>
      </c>
      <c r="C748" s="244" t="s">
        <v>928</v>
      </c>
      <c r="D748" s="244" t="s">
        <v>935</v>
      </c>
      <c r="E748" s="244" t="s">
        <v>1250</v>
      </c>
      <c r="F748" s="245">
        <v>-29.8</v>
      </c>
      <c r="G748" s="245">
        <v>-26.5</v>
      </c>
      <c r="H748" s="245">
        <v>-15.7</v>
      </c>
      <c r="I748" s="245">
        <v>-3.7</v>
      </c>
      <c r="J748" s="245">
        <v>5.0999999999999996</v>
      </c>
      <c r="K748" s="245">
        <v>14</v>
      </c>
      <c r="L748" s="245">
        <v>17.2</v>
      </c>
      <c r="M748" s="245">
        <v>13</v>
      </c>
      <c r="N748" s="245">
        <v>5.6</v>
      </c>
      <c r="O748" s="245">
        <v>-4.4000000000000004</v>
      </c>
      <c r="P748" s="245">
        <v>-19.899999999999999</v>
      </c>
      <c r="Q748" s="245">
        <v>-28.5</v>
      </c>
      <c r="R748" s="246">
        <v>-6.1</v>
      </c>
      <c r="S748" s="233">
        <v>174</v>
      </c>
      <c r="T748" s="247" t="s">
        <v>1251</v>
      </c>
      <c r="U748" s="245">
        <v>-57</v>
      </c>
      <c r="V748" s="245">
        <v>-55</v>
      </c>
      <c r="W748" s="245">
        <v>-52</v>
      </c>
      <c r="X748" s="245">
        <v>-51</v>
      </c>
      <c r="Y748" s="245">
        <v>-35</v>
      </c>
      <c r="Z748" s="245">
        <v>-61</v>
      </c>
      <c r="AA748" s="245">
        <v>14.3</v>
      </c>
      <c r="AB748" s="245">
        <v>208</v>
      </c>
      <c r="AC748" s="245">
        <v>-18.3</v>
      </c>
      <c r="AD748" s="245">
        <v>262</v>
      </c>
      <c r="AE748" s="245">
        <v>-13.7</v>
      </c>
      <c r="AF748" s="245">
        <v>277</v>
      </c>
      <c r="AG748" s="245">
        <v>-12.4</v>
      </c>
      <c r="AH748" s="245">
        <v>79</v>
      </c>
      <c r="AI748" s="245">
        <v>77</v>
      </c>
      <c r="AJ748" s="245">
        <v>107</v>
      </c>
      <c r="AK748" s="245" t="s">
        <v>971</v>
      </c>
      <c r="AL748" s="245">
        <v>3.3</v>
      </c>
      <c r="AM748" s="246">
        <v>1.8</v>
      </c>
      <c r="AN748" s="235">
        <v>174</v>
      </c>
      <c r="AO748" s="247" t="s">
        <v>1252</v>
      </c>
      <c r="AP748" s="247">
        <v>980</v>
      </c>
      <c r="AQ748" s="247">
        <v>21</v>
      </c>
      <c r="AR748" s="247">
        <v>26.3</v>
      </c>
      <c r="AS748" s="247">
        <v>24.7</v>
      </c>
      <c r="AT748" s="247">
        <v>35</v>
      </c>
      <c r="AU748" s="247">
        <v>15.6</v>
      </c>
      <c r="AV748" s="247">
        <v>70</v>
      </c>
      <c r="AW748" s="247">
        <v>50</v>
      </c>
      <c r="AX748" s="247">
        <v>317</v>
      </c>
      <c r="AY748" s="247">
        <v>64</v>
      </c>
      <c r="AZ748" s="247" t="s">
        <v>978</v>
      </c>
      <c r="BA748" s="248">
        <v>0</v>
      </c>
      <c r="BB748" s="235">
        <v>153</v>
      </c>
      <c r="BC748" s="247" t="s">
        <v>1250</v>
      </c>
      <c r="BD748" s="247">
        <v>0.7</v>
      </c>
      <c r="BE748" s="247">
        <v>0.8</v>
      </c>
      <c r="BF748" s="247">
        <v>1.5</v>
      </c>
      <c r="BG748" s="247">
        <v>3</v>
      </c>
      <c r="BH748" s="247">
        <v>5.3</v>
      </c>
      <c r="BI748" s="247">
        <v>9.8000000000000007</v>
      </c>
      <c r="BJ748" s="247">
        <v>13.4</v>
      </c>
      <c r="BK748" s="247">
        <v>11.5</v>
      </c>
      <c r="BL748" s="247">
        <v>7.3</v>
      </c>
      <c r="BM748" s="247">
        <v>3.9</v>
      </c>
      <c r="BN748" s="247">
        <v>1.5</v>
      </c>
      <c r="BO748" s="247">
        <v>0.8</v>
      </c>
      <c r="BP748" s="248">
        <v>5</v>
      </c>
    </row>
    <row r="749" spans="1:68" ht="14.25" customHeight="1">
      <c r="A749" s="233">
        <v>92</v>
      </c>
      <c r="B749" s="234">
        <v>459</v>
      </c>
      <c r="C749" s="244" t="s">
        <v>1253</v>
      </c>
      <c r="D749" s="244" t="s">
        <v>1253</v>
      </c>
      <c r="E749" s="244" t="s">
        <v>1254</v>
      </c>
      <c r="F749" s="245">
        <v>-3.7</v>
      </c>
      <c r="G749" s="245">
        <v>-2.2999999999999998</v>
      </c>
      <c r="H749" s="245">
        <v>1.4</v>
      </c>
      <c r="I749" s="245">
        <v>7.5</v>
      </c>
      <c r="J749" s="245">
        <v>12.1</v>
      </c>
      <c r="K749" s="245">
        <v>15</v>
      </c>
      <c r="L749" s="245">
        <v>17.600000000000001</v>
      </c>
      <c r="M749" s="245">
        <v>17.7</v>
      </c>
      <c r="N749" s="245">
        <v>14.2</v>
      </c>
      <c r="O749" s="245">
        <v>8.9</v>
      </c>
      <c r="P749" s="245">
        <v>3.9</v>
      </c>
      <c r="Q749" s="245">
        <v>-1.1000000000000001</v>
      </c>
      <c r="R749" s="246">
        <v>7.6</v>
      </c>
      <c r="S749" s="233">
        <v>459</v>
      </c>
      <c r="T749" s="247" t="s">
        <v>1255</v>
      </c>
      <c r="U749" s="245">
        <v>-20</v>
      </c>
      <c r="V749" s="245">
        <v>-17</v>
      </c>
      <c r="W749" s="245">
        <v>-16</v>
      </c>
      <c r="X749" s="245">
        <v>-15</v>
      </c>
      <c r="Y749" s="245" t="s">
        <v>956</v>
      </c>
      <c r="Z749" s="245">
        <v>-30</v>
      </c>
      <c r="AA749" s="245" t="s">
        <v>956</v>
      </c>
      <c r="AB749" s="245">
        <v>89</v>
      </c>
      <c r="AC749" s="245">
        <v>-2.5</v>
      </c>
      <c r="AD749" s="245">
        <v>180</v>
      </c>
      <c r="AE749" s="245">
        <v>0.7</v>
      </c>
      <c r="AF749" s="245">
        <v>202</v>
      </c>
      <c r="AG749" s="245">
        <v>1.6</v>
      </c>
      <c r="AH749" s="245">
        <v>69</v>
      </c>
      <c r="AI749" s="245">
        <v>52</v>
      </c>
      <c r="AJ749" s="245">
        <v>135</v>
      </c>
      <c r="AK749" s="245" t="s">
        <v>944</v>
      </c>
      <c r="AL749" s="245">
        <v>4.8</v>
      </c>
      <c r="AM749" s="246" t="s">
        <v>931</v>
      </c>
      <c r="AN749" s="235">
        <v>459</v>
      </c>
      <c r="AO749" s="247" t="s">
        <v>1256</v>
      </c>
      <c r="AP749" s="247">
        <v>865</v>
      </c>
      <c r="AQ749" s="247" t="s">
        <v>958</v>
      </c>
      <c r="AR749" s="247" t="s">
        <v>931</v>
      </c>
      <c r="AS749" s="247">
        <v>23.9</v>
      </c>
      <c r="AT749" s="247">
        <v>36</v>
      </c>
      <c r="AU749" s="247" t="s">
        <v>934</v>
      </c>
      <c r="AV749" s="247">
        <v>74</v>
      </c>
      <c r="AW749" s="247">
        <v>58</v>
      </c>
      <c r="AX749" s="247">
        <v>475</v>
      </c>
      <c r="AY749" s="247">
        <v>53</v>
      </c>
      <c r="AZ749" s="247" t="s">
        <v>973</v>
      </c>
      <c r="BA749" s="248">
        <v>0</v>
      </c>
      <c r="BB749" s="235"/>
      <c r="BC749" s="247" t="s">
        <v>1255</v>
      </c>
      <c r="BD749" s="247"/>
      <c r="BE749" s="247"/>
      <c r="BF749" s="247"/>
      <c r="BG749" s="247"/>
      <c r="BH749" s="247"/>
      <c r="BI749" s="247"/>
      <c r="BJ749" s="247"/>
      <c r="BK749" s="247"/>
      <c r="BL749" s="247"/>
      <c r="BM749" s="247"/>
      <c r="BN749" s="247"/>
      <c r="BO749" s="247"/>
      <c r="BP749" s="248"/>
    </row>
    <row r="750" spans="1:68" ht="14.25" customHeight="1">
      <c r="A750" s="233">
        <v>93</v>
      </c>
      <c r="B750" s="234">
        <v>450</v>
      </c>
      <c r="C750" s="244" t="s">
        <v>928</v>
      </c>
      <c r="D750" s="244" t="s">
        <v>1257</v>
      </c>
      <c r="E750" s="244" t="s">
        <v>1258</v>
      </c>
      <c r="F750" s="245">
        <v>-17.8</v>
      </c>
      <c r="G750" s="245">
        <v>-19.2</v>
      </c>
      <c r="H750" s="245">
        <v>-16.600000000000001</v>
      </c>
      <c r="I750" s="245">
        <v>-9.5</v>
      </c>
      <c r="J750" s="245">
        <v>-3.4</v>
      </c>
      <c r="K750" s="245">
        <v>2.8</v>
      </c>
      <c r="L750" s="245">
        <v>8.9</v>
      </c>
      <c r="M750" s="245">
        <v>8.8000000000000007</v>
      </c>
      <c r="N750" s="245">
        <v>4.9000000000000004</v>
      </c>
      <c r="O750" s="245">
        <v>-2.2000000000000002</v>
      </c>
      <c r="P750" s="245">
        <v>-9.5</v>
      </c>
      <c r="Q750" s="245">
        <v>-13.9</v>
      </c>
      <c r="R750" s="246">
        <v>-5.6</v>
      </c>
      <c r="S750" s="233">
        <v>450</v>
      </c>
      <c r="T750" s="247" t="s">
        <v>1259</v>
      </c>
      <c r="U750" s="245">
        <v>-40</v>
      </c>
      <c r="V750" s="245">
        <v>-39</v>
      </c>
      <c r="W750" s="245">
        <v>-37</v>
      </c>
      <c r="X750" s="245">
        <v>-36</v>
      </c>
      <c r="Y750" s="245">
        <v>-24</v>
      </c>
      <c r="Z750" s="245">
        <v>-44</v>
      </c>
      <c r="AA750" s="245">
        <v>8.8000000000000007</v>
      </c>
      <c r="AB750" s="245">
        <v>238</v>
      </c>
      <c r="AC750" s="245">
        <v>-11.5</v>
      </c>
      <c r="AD750" s="245">
        <v>323</v>
      </c>
      <c r="AE750" s="245">
        <v>-7.3</v>
      </c>
      <c r="AF750" s="245">
        <v>365</v>
      </c>
      <c r="AG750" s="245">
        <v>-5.6</v>
      </c>
      <c r="AH750" s="245">
        <v>86</v>
      </c>
      <c r="AI750" s="245">
        <v>85</v>
      </c>
      <c r="AJ750" s="245">
        <v>126</v>
      </c>
      <c r="AK750" s="245" t="s">
        <v>971</v>
      </c>
      <c r="AL750" s="245" t="s">
        <v>931</v>
      </c>
      <c r="AM750" s="246">
        <v>6.1</v>
      </c>
      <c r="AN750" s="235">
        <v>450</v>
      </c>
      <c r="AO750" s="247" t="s">
        <v>1260</v>
      </c>
      <c r="AP750" s="247">
        <v>1010</v>
      </c>
      <c r="AQ750" s="247">
        <v>10.6</v>
      </c>
      <c r="AR750" s="247">
        <v>15.4</v>
      </c>
      <c r="AS750" s="247">
        <v>13</v>
      </c>
      <c r="AT750" s="247">
        <v>32</v>
      </c>
      <c r="AU750" s="247">
        <v>7.1</v>
      </c>
      <c r="AV750" s="247">
        <v>86</v>
      </c>
      <c r="AW750" s="247">
        <v>80</v>
      </c>
      <c r="AX750" s="247">
        <v>277</v>
      </c>
      <c r="AY750" s="247">
        <v>46</v>
      </c>
      <c r="AZ750" s="247" t="s">
        <v>940</v>
      </c>
      <c r="BA750" s="248" t="s">
        <v>934</v>
      </c>
      <c r="BB750" s="235">
        <v>412</v>
      </c>
      <c r="BC750" s="247" t="s">
        <v>1259</v>
      </c>
      <c r="BD750" s="247">
        <v>1.7</v>
      </c>
      <c r="BE750" s="247">
        <v>1.5</v>
      </c>
      <c r="BF750" s="247">
        <v>1.9</v>
      </c>
      <c r="BG750" s="247">
        <v>3</v>
      </c>
      <c r="BH750" s="247">
        <v>4.4000000000000004</v>
      </c>
      <c r="BI750" s="247">
        <v>6.8</v>
      </c>
      <c r="BJ750" s="247">
        <v>10.1</v>
      </c>
      <c r="BK750" s="247">
        <v>10</v>
      </c>
      <c r="BL750" s="247">
        <v>7.7</v>
      </c>
      <c r="BM750" s="247">
        <v>4.8</v>
      </c>
      <c r="BN750" s="247">
        <v>3</v>
      </c>
      <c r="BO750" s="247">
        <v>2.2999999999999998</v>
      </c>
      <c r="BP750" s="248">
        <v>4.8</v>
      </c>
    </row>
    <row r="751" spans="1:68" ht="14.25" customHeight="1">
      <c r="A751" s="233">
        <v>94</v>
      </c>
      <c r="B751" s="234">
        <v>472</v>
      </c>
      <c r="C751" s="244" t="s">
        <v>1220</v>
      </c>
      <c r="D751" s="244" t="s">
        <v>1261</v>
      </c>
      <c r="E751" s="244" t="s">
        <v>1262</v>
      </c>
      <c r="F751" s="245">
        <v>-6.6</v>
      </c>
      <c r="G751" s="245">
        <v>-5.6</v>
      </c>
      <c r="H751" s="245">
        <v>-1</v>
      </c>
      <c r="I751" s="245">
        <v>6.8</v>
      </c>
      <c r="J751" s="245">
        <v>13.9</v>
      </c>
      <c r="K751" s="245">
        <v>17</v>
      </c>
      <c r="L751" s="245">
        <v>18.399999999999999</v>
      </c>
      <c r="M751" s="245">
        <v>17.2</v>
      </c>
      <c r="N751" s="245">
        <v>12.4</v>
      </c>
      <c r="O751" s="245">
        <v>6.6</v>
      </c>
      <c r="P751" s="245">
        <v>1</v>
      </c>
      <c r="Q751" s="245">
        <v>-3.7</v>
      </c>
      <c r="R751" s="246">
        <v>6.4</v>
      </c>
      <c r="S751" s="233">
        <v>472</v>
      </c>
      <c r="T751" s="247" t="s">
        <v>1263</v>
      </c>
      <c r="U751" s="245">
        <v>-30</v>
      </c>
      <c r="V751" s="245">
        <v>-27</v>
      </c>
      <c r="W751" s="245">
        <v>-26</v>
      </c>
      <c r="X751" s="245">
        <v>-23</v>
      </c>
      <c r="Y751" s="245">
        <v>-10</v>
      </c>
      <c r="Z751" s="245">
        <v>-36</v>
      </c>
      <c r="AA751" s="245">
        <v>6.5</v>
      </c>
      <c r="AB751" s="245">
        <v>121</v>
      </c>
      <c r="AC751" s="245">
        <v>-4.4000000000000004</v>
      </c>
      <c r="AD751" s="245">
        <v>194</v>
      </c>
      <c r="AE751" s="245">
        <v>-1.2</v>
      </c>
      <c r="AF751" s="245">
        <v>212</v>
      </c>
      <c r="AG751" s="245">
        <v>-0.3</v>
      </c>
      <c r="AH751" s="245">
        <v>85</v>
      </c>
      <c r="AI751" s="245">
        <v>79</v>
      </c>
      <c r="AJ751" s="245">
        <v>198</v>
      </c>
      <c r="AK751" s="245" t="s">
        <v>963</v>
      </c>
      <c r="AL751" s="245">
        <v>3.7</v>
      </c>
      <c r="AM751" s="246">
        <v>3.2</v>
      </c>
      <c r="AN751" s="235">
        <v>472</v>
      </c>
      <c r="AO751" s="247" t="s">
        <v>1264</v>
      </c>
      <c r="AP751" s="247">
        <v>1000</v>
      </c>
      <c r="AQ751" s="247">
        <v>22.5</v>
      </c>
      <c r="AR751" s="247">
        <v>27</v>
      </c>
      <c r="AS751" s="247">
        <v>25</v>
      </c>
      <c r="AT751" s="247">
        <v>38</v>
      </c>
      <c r="AU751" s="247">
        <v>11.8</v>
      </c>
      <c r="AV751" s="247">
        <v>72</v>
      </c>
      <c r="AW751" s="247">
        <v>57</v>
      </c>
      <c r="AX751" s="247">
        <v>456</v>
      </c>
      <c r="AY751" s="247">
        <v>99</v>
      </c>
      <c r="AZ751" s="247" t="s">
        <v>952</v>
      </c>
      <c r="BA751" s="248">
        <v>0</v>
      </c>
      <c r="BB751" s="235"/>
      <c r="BC751" s="247" t="s">
        <v>1263</v>
      </c>
      <c r="BD751" s="247"/>
      <c r="BE751" s="247"/>
      <c r="BF751" s="247"/>
      <c r="BG751" s="247"/>
      <c r="BH751" s="247"/>
      <c r="BI751" s="247"/>
      <c r="BJ751" s="247"/>
      <c r="BK751" s="247"/>
      <c r="BL751" s="247"/>
      <c r="BM751" s="247"/>
      <c r="BN751" s="247"/>
      <c r="BO751" s="247"/>
      <c r="BP751" s="248"/>
    </row>
    <row r="752" spans="1:68" ht="14.25" customHeight="1">
      <c r="A752" s="233">
        <v>95</v>
      </c>
      <c r="B752" s="234">
        <v>271</v>
      </c>
      <c r="C752" s="244" t="s">
        <v>928</v>
      </c>
      <c r="D752" s="244" t="s">
        <v>1265</v>
      </c>
      <c r="E752" s="244" t="s">
        <v>151</v>
      </c>
      <c r="F752" s="245">
        <v>-8.6</v>
      </c>
      <c r="G752" s="245">
        <v>-7.7</v>
      </c>
      <c r="H752" s="245">
        <v>-3.2</v>
      </c>
      <c r="I752" s="245">
        <v>4.9000000000000004</v>
      </c>
      <c r="J752" s="245">
        <v>11.5</v>
      </c>
      <c r="K752" s="245">
        <v>15.7</v>
      </c>
      <c r="L752" s="245">
        <v>17.100000000000001</v>
      </c>
      <c r="M752" s="245">
        <v>15.8</v>
      </c>
      <c r="N752" s="245">
        <v>10.7</v>
      </c>
      <c r="O752" s="245">
        <v>5.0999999999999996</v>
      </c>
      <c r="P752" s="245">
        <v>-0.1</v>
      </c>
      <c r="Q752" s="245">
        <v>-5.2</v>
      </c>
      <c r="R752" s="246">
        <v>4.7</v>
      </c>
      <c r="S752" s="233">
        <v>271</v>
      </c>
      <c r="T752" s="247" t="s">
        <v>1266</v>
      </c>
      <c r="U752" s="245">
        <v>-34</v>
      </c>
      <c r="V752" s="245">
        <v>-31</v>
      </c>
      <c r="W752" s="245">
        <v>-31</v>
      </c>
      <c r="X752" s="245">
        <v>-27</v>
      </c>
      <c r="Y752" s="245">
        <v>-14</v>
      </c>
      <c r="Z752" s="245">
        <v>-46</v>
      </c>
      <c r="AA752" s="245">
        <v>7.1</v>
      </c>
      <c r="AB752" s="245">
        <v>133</v>
      </c>
      <c r="AC752" s="245">
        <v>-5.4</v>
      </c>
      <c r="AD752" s="245">
        <v>212</v>
      </c>
      <c r="AE752" s="245">
        <v>-1.9</v>
      </c>
      <c r="AF752" s="245">
        <v>232</v>
      </c>
      <c r="AG752" s="245">
        <v>-0.9</v>
      </c>
      <c r="AH752" s="245">
        <v>84</v>
      </c>
      <c r="AI752" s="245">
        <v>78</v>
      </c>
      <c r="AJ752" s="245">
        <v>177</v>
      </c>
      <c r="AK752" s="245" t="s">
        <v>990</v>
      </c>
      <c r="AL752" s="245">
        <v>6.1</v>
      </c>
      <c r="AM752" s="246">
        <v>4.2</v>
      </c>
      <c r="AN752" s="235">
        <v>271</v>
      </c>
      <c r="AO752" s="247" t="s">
        <v>1267</v>
      </c>
      <c r="AP752" s="247">
        <v>1000</v>
      </c>
      <c r="AQ752" s="247">
        <v>20.9</v>
      </c>
      <c r="AR752" s="247">
        <v>24.5</v>
      </c>
      <c r="AS752" s="247">
        <v>23.2</v>
      </c>
      <c r="AT752" s="247">
        <v>35</v>
      </c>
      <c r="AU752" s="247">
        <v>12</v>
      </c>
      <c r="AV752" s="247">
        <v>77</v>
      </c>
      <c r="AW752" s="247">
        <v>61</v>
      </c>
      <c r="AX752" s="247">
        <v>425</v>
      </c>
      <c r="AY752" s="247">
        <v>60</v>
      </c>
      <c r="AZ752" s="247" t="s">
        <v>978</v>
      </c>
      <c r="BA752" s="248">
        <v>0</v>
      </c>
      <c r="BB752" s="235">
        <v>242</v>
      </c>
      <c r="BC752" s="247" t="s">
        <v>151</v>
      </c>
      <c r="BD752" s="247">
        <v>3.2</v>
      </c>
      <c r="BE752" s="247">
        <v>3.3</v>
      </c>
      <c r="BF752" s="247">
        <v>4.2</v>
      </c>
      <c r="BG752" s="247">
        <v>6.5</v>
      </c>
      <c r="BH752" s="247">
        <v>9.6999999999999993</v>
      </c>
      <c r="BI752" s="247">
        <v>13</v>
      </c>
      <c r="BJ752" s="247">
        <v>14.9</v>
      </c>
      <c r="BK752" s="247">
        <v>14.2</v>
      </c>
      <c r="BL752" s="247">
        <v>10.7</v>
      </c>
      <c r="BM752" s="247">
        <v>7.7</v>
      </c>
      <c r="BN752" s="247">
        <v>5.6</v>
      </c>
      <c r="BO752" s="247">
        <v>4.2</v>
      </c>
      <c r="BP752" s="248">
        <v>8.1</v>
      </c>
    </row>
    <row r="753" spans="1:68" ht="14.25" customHeight="1">
      <c r="A753" s="233">
        <v>96</v>
      </c>
      <c r="B753" s="234">
        <v>231</v>
      </c>
      <c r="C753" s="244" t="s">
        <v>928</v>
      </c>
      <c r="D753" s="244" t="s">
        <v>1211</v>
      </c>
      <c r="E753" s="244" t="s">
        <v>152</v>
      </c>
      <c r="F753" s="245">
        <v>-8.6999999999999993</v>
      </c>
      <c r="G753" s="245">
        <v>-8.6999999999999993</v>
      </c>
      <c r="H753" s="245">
        <v>-4.3</v>
      </c>
      <c r="I753" s="245">
        <v>3.3</v>
      </c>
      <c r="J753" s="245">
        <v>10.4</v>
      </c>
      <c r="K753" s="245">
        <v>15.2</v>
      </c>
      <c r="L753" s="245">
        <v>17.3</v>
      </c>
      <c r="M753" s="245">
        <v>15.4</v>
      </c>
      <c r="N753" s="245">
        <v>10.3</v>
      </c>
      <c r="O753" s="245">
        <v>4.2</v>
      </c>
      <c r="P753" s="245">
        <v>-0.9</v>
      </c>
      <c r="Q753" s="245">
        <v>-5.9</v>
      </c>
      <c r="R753" s="246">
        <v>4</v>
      </c>
      <c r="S753" s="233">
        <v>231</v>
      </c>
      <c r="T753" s="247" t="s">
        <v>1268</v>
      </c>
      <c r="U753" s="245">
        <v>-38</v>
      </c>
      <c r="V753" s="245">
        <v>-31</v>
      </c>
      <c r="W753" s="245">
        <v>-33</v>
      </c>
      <c r="X753" s="245">
        <v>-27</v>
      </c>
      <c r="Y753" s="245">
        <v>-14</v>
      </c>
      <c r="Z753" s="245">
        <v>-45</v>
      </c>
      <c r="AA753" s="245">
        <v>6.8</v>
      </c>
      <c r="AB753" s="245">
        <v>143</v>
      </c>
      <c r="AC753" s="245">
        <v>-5.7</v>
      </c>
      <c r="AD753" s="245">
        <v>221</v>
      </c>
      <c r="AE753" s="245">
        <v>-2.2999999999999998</v>
      </c>
      <c r="AF753" s="245">
        <v>239</v>
      </c>
      <c r="AG753" s="245">
        <v>-1.4</v>
      </c>
      <c r="AH753" s="245">
        <v>85</v>
      </c>
      <c r="AI753" s="245">
        <v>85</v>
      </c>
      <c r="AJ753" s="245">
        <v>176</v>
      </c>
      <c r="AK753" s="245" t="s">
        <v>963</v>
      </c>
      <c r="AL753" s="245">
        <v>6.6</v>
      </c>
      <c r="AM753" s="246">
        <v>4.5999999999999996</v>
      </c>
      <c r="AN753" s="235">
        <v>231</v>
      </c>
      <c r="AO753" s="247" t="s">
        <v>1269</v>
      </c>
      <c r="AP753" s="247">
        <v>1010</v>
      </c>
      <c r="AQ753" s="247">
        <v>20.3</v>
      </c>
      <c r="AR753" s="247">
        <v>24.6</v>
      </c>
      <c r="AS753" s="247">
        <v>22.7</v>
      </c>
      <c r="AT753" s="247">
        <v>34</v>
      </c>
      <c r="AU753" s="247">
        <v>11</v>
      </c>
      <c r="AV753" s="247">
        <v>76</v>
      </c>
      <c r="AW753" s="247">
        <v>61</v>
      </c>
      <c r="AX753" s="247">
        <v>424</v>
      </c>
      <c r="AY753" s="247">
        <v>72</v>
      </c>
      <c r="AZ753" s="247" t="s">
        <v>978</v>
      </c>
      <c r="BA753" s="248">
        <v>4</v>
      </c>
      <c r="BB753" s="235">
        <v>203</v>
      </c>
      <c r="BC753" s="247" t="s">
        <v>152</v>
      </c>
      <c r="BD753" s="247">
        <v>3.1</v>
      </c>
      <c r="BE753" s="247">
        <v>3.1</v>
      </c>
      <c r="BF753" s="247">
        <v>3.9</v>
      </c>
      <c r="BG753" s="247">
        <v>6.1</v>
      </c>
      <c r="BH753" s="247">
        <v>8.8000000000000007</v>
      </c>
      <c r="BI753" s="247">
        <v>12.5</v>
      </c>
      <c r="BJ753" s="247">
        <v>15.1</v>
      </c>
      <c r="BK753" s="247">
        <v>14.4</v>
      </c>
      <c r="BL753" s="247">
        <v>10.8</v>
      </c>
      <c r="BM753" s="247">
        <v>7.5</v>
      </c>
      <c r="BN753" s="247">
        <v>5.5</v>
      </c>
      <c r="BO753" s="247">
        <v>4</v>
      </c>
      <c r="BP753" s="248">
        <v>7.9</v>
      </c>
    </row>
    <row r="754" spans="1:68" ht="14.25" customHeight="1">
      <c r="A754" s="233">
        <v>97</v>
      </c>
      <c r="B754" s="234">
        <v>175</v>
      </c>
      <c r="C754" s="244" t="s">
        <v>928</v>
      </c>
      <c r="D754" s="244" t="s">
        <v>935</v>
      </c>
      <c r="E754" s="244" t="s">
        <v>1270</v>
      </c>
      <c r="F754" s="245">
        <v>-27.6</v>
      </c>
      <c r="G754" s="245">
        <v>-24.8</v>
      </c>
      <c r="H754" s="245">
        <v>-14.8</v>
      </c>
      <c r="I754" s="245">
        <v>-3.7</v>
      </c>
      <c r="J754" s="245">
        <v>4.3</v>
      </c>
      <c r="K754" s="245">
        <v>13.1</v>
      </c>
      <c r="L754" s="245">
        <v>16.8</v>
      </c>
      <c r="M754" s="245">
        <v>12.7</v>
      </c>
      <c r="N754" s="245">
        <v>6.1</v>
      </c>
      <c r="O754" s="245">
        <v>-3.7</v>
      </c>
      <c r="P754" s="245">
        <v>-18.100000000000001</v>
      </c>
      <c r="Q754" s="245">
        <v>-26.5</v>
      </c>
      <c r="R754" s="246">
        <v>-5.5</v>
      </c>
      <c r="S754" s="233">
        <v>175</v>
      </c>
      <c r="T754" s="247" t="s">
        <v>1271</v>
      </c>
      <c r="U754" s="245">
        <v>-55</v>
      </c>
      <c r="V754" s="245">
        <v>-54</v>
      </c>
      <c r="W754" s="245">
        <v>-52</v>
      </c>
      <c r="X754" s="245">
        <v>-49</v>
      </c>
      <c r="Y754" s="245">
        <v>-33</v>
      </c>
      <c r="Z754" s="245">
        <v>-59</v>
      </c>
      <c r="AA754" s="245">
        <v>13.2</v>
      </c>
      <c r="AB754" s="245">
        <v>207</v>
      </c>
      <c r="AC754" s="245">
        <v>-17.100000000000001</v>
      </c>
      <c r="AD754" s="245">
        <v>264</v>
      </c>
      <c r="AE754" s="245">
        <v>-12.5</v>
      </c>
      <c r="AF754" s="245">
        <v>280</v>
      </c>
      <c r="AG754" s="245">
        <v>-11.3</v>
      </c>
      <c r="AH754" s="245">
        <v>79</v>
      </c>
      <c r="AI754" s="245">
        <v>79</v>
      </c>
      <c r="AJ754" s="245">
        <v>184</v>
      </c>
      <c r="AK754" s="245" t="s">
        <v>950</v>
      </c>
      <c r="AL754" s="245" t="s">
        <v>931</v>
      </c>
      <c r="AM754" s="246">
        <v>1.6</v>
      </c>
      <c r="AN754" s="235">
        <v>175</v>
      </c>
      <c r="AO754" s="247" t="s">
        <v>1272</v>
      </c>
      <c r="AP754" s="247">
        <v>990</v>
      </c>
      <c r="AQ754" s="247">
        <v>21.9</v>
      </c>
      <c r="AR754" s="247">
        <v>26</v>
      </c>
      <c r="AS754" s="247">
        <v>24.3</v>
      </c>
      <c r="AT754" s="247">
        <v>35</v>
      </c>
      <c r="AU754" s="247">
        <v>15.3</v>
      </c>
      <c r="AV754" s="247">
        <v>73</v>
      </c>
      <c r="AW754" s="247">
        <v>55</v>
      </c>
      <c r="AX754" s="247">
        <v>469</v>
      </c>
      <c r="AY754" s="247">
        <v>47</v>
      </c>
      <c r="AZ754" s="247" t="s">
        <v>952</v>
      </c>
      <c r="BA754" s="248" t="s">
        <v>934</v>
      </c>
      <c r="BB754" s="235">
        <v>154</v>
      </c>
      <c r="BC754" s="247" t="s">
        <v>1270</v>
      </c>
      <c r="BD754" s="247">
        <v>0.8</v>
      </c>
      <c r="BE754" s="247">
        <v>1</v>
      </c>
      <c r="BF754" s="247">
        <v>1.8</v>
      </c>
      <c r="BG754" s="247">
        <v>3.3</v>
      </c>
      <c r="BH754" s="247">
        <v>5.4</v>
      </c>
      <c r="BI754" s="247">
        <v>10.1</v>
      </c>
      <c r="BJ754" s="247">
        <v>13.7</v>
      </c>
      <c r="BK754" s="247">
        <v>11.9</v>
      </c>
      <c r="BL754" s="247">
        <v>7.9</v>
      </c>
      <c r="BM754" s="247">
        <v>4.2</v>
      </c>
      <c r="BN754" s="247">
        <v>1.7</v>
      </c>
      <c r="BO754" s="247">
        <v>0.9</v>
      </c>
      <c r="BP754" s="248">
        <v>5.2</v>
      </c>
    </row>
    <row r="755" spans="1:68" ht="14.25" customHeight="1">
      <c r="A755" s="233">
        <v>98</v>
      </c>
      <c r="B755" s="234">
        <v>150</v>
      </c>
      <c r="C755" s="244" t="s">
        <v>928</v>
      </c>
      <c r="D755" s="244" t="s">
        <v>1273</v>
      </c>
      <c r="E755" s="244" t="s">
        <v>1274</v>
      </c>
      <c r="F755" s="245">
        <v>-15.8</v>
      </c>
      <c r="G755" s="245">
        <v>-15.1</v>
      </c>
      <c r="H755" s="245">
        <v>-9.1</v>
      </c>
      <c r="I755" s="245">
        <v>-0.4</v>
      </c>
      <c r="J755" s="245">
        <v>6.2</v>
      </c>
      <c r="K755" s="245">
        <v>12.4</v>
      </c>
      <c r="L755" s="245">
        <v>15.5</v>
      </c>
      <c r="M755" s="245">
        <v>13</v>
      </c>
      <c r="N755" s="245">
        <v>6.8</v>
      </c>
      <c r="O755" s="245">
        <v>0</v>
      </c>
      <c r="P755" s="245">
        <v>-6.7</v>
      </c>
      <c r="Q755" s="245">
        <v>-13.2</v>
      </c>
      <c r="R755" s="246">
        <v>-0.5</v>
      </c>
      <c r="S755" s="233">
        <v>150</v>
      </c>
      <c r="T755" s="247" t="s">
        <v>1275</v>
      </c>
      <c r="U755" s="245">
        <v>-46</v>
      </c>
      <c r="V755" s="245">
        <v>-44</v>
      </c>
      <c r="W755" s="245">
        <v>-40</v>
      </c>
      <c r="X755" s="245">
        <v>-39</v>
      </c>
      <c r="Y755" s="245">
        <v>-21</v>
      </c>
      <c r="Z755" s="245">
        <v>-52</v>
      </c>
      <c r="AA755" s="245">
        <v>8.6999999999999993</v>
      </c>
      <c r="AB755" s="245">
        <v>183</v>
      </c>
      <c r="AC755" s="245">
        <v>-9.9</v>
      </c>
      <c r="AD755" s="245">
        <v>257</v>
      </c>
      <c r="AE755" s="245">
        <v>-5.9</v>
      </c>
      <c r="AF755" s="245">
        <v>277</v>
      </c>
      <c r="AG755" s="245">
        <v>-4.8</v>
      </c>
      <c r="AH755" s="245">
        <v>83</v>
      </c>
      <c r="AI755" s="245">
        <v>83</v>
      </c>
      <c r="AJ755" s="245">
        <v>159</v>
      </c>
      <c r="AK755" s="245" t="s">
        <v>963</v>
      </c>
      <c r="AL755" s="245">
        <v>3.8</v>
      </c>
      <c r="AM755" s="246">
        <v>3.1</v>
      </c>
      <c r="AN755" s="235">
        <v>150</v>
      </c>
      <c r="AO755" s="247" t="s">
        <v>1276</v>
      </c>
      <c r="AP755" s="247">
        <v>1000</v>
      </c>
      <c r="AQ755" s="247">
        <v>19.600000000000001</v>
      </c>
      <c r="AR755" s="247">
        <v>23.9</v>
      </c>
      <c r="AS755" s="247">
        <v>22</v>
      </c>
      <c r="AT755" s="247">
        <v>35</v>
      </c>
      <c r="AU755" s="247">
        <v>12.9</v>
      </c>
      <c r="AV755" s="247">
        <v>71</v>
      </c>
      <c r="AW755" s="247">
        <v>57</v>
      </c>
      <c r="AX755" s="247">
        <v>423</v>
      </c>
      <c r="AY755" s="247">
        <v>59</v>
      </c>
      <c r="AZ755" s="247" t="s">
        <v>1005</v>
      </c>
      <c r="BA755" s="248">
        <v>0</v>
      </c>
      <c r="BB755" s="235">
        <v>130</v>
      </c>
      <c r="BC755" s="247" t="s">
        <v>1274</v>
      </c>
      <c r="BD755" s="247">
        <v>2</v>
      </c>
      <c r="BE755" s="247">
        <v>2</v>
      </c>
      <c r="BF755" s="247">
        <v>2.8</v>
      </c>
      <c r="BG755" s="247">
        <v>4.3</v>
      </c>
      <c r="BH755" s="247">
        <v>6.1</v>
      </c>
      <c r="BI755" s="247">
        <v>9.6</v>
      </c>
      <c r="BJ755" s="247">
        <v>12.5</v>
      </c>
      <c r="BK755" s="247">
        <v>11.8</v>
      </c>
      <c r="BL755" s="247">
        <v>8.6999999999999993</v>
      </c>
      <c r="BM755" s="247">
        <v>5.6</v>
      </c>
      <c r="BN755" s="247">
        <v>3.8</v>
      </c>
      <c r="BO755" s="247">
        <v>2.6</v>
      </c>
      <c r="BP755" s="248">
        <v>6</v>
      </c>
    </row>
    <row r="756" spans="1:68" ht="14.25" customHeight="1">
      <c r="A756" s="233">
        <v>99</v>
      </c>
      <c r="B756" s="234">
        <v>176</v>
      </c>
      <c r="C756" s="244" t="s">
        <v>928</v>
      </c>
      <c r="D756" s="244" t="s">
        <v>935</v>
      </c>
      <c r="E756" s="244" t="s">
        <v>1277</v>
      </c>
      <c r="F756" s="245">
        <v>-24.7</v>
      </c>
      <c r="G756" s="245">
        <v>-22.4</v>
      </c>
      <c r="H756" s="245">
        <v>-14.3</v>
      </c>
      <c r="I756" s="245">
        <v>-5.0999999999999996</v>
      </c>
      <c r="J756" s="245">
        <v>2.4</v>
      </c>
      <c r="K756" s="245">
        <v>11.8</v>
      </c>
      <c r="L756" s="245">
        <v>16.8</v>
      </c>
      <c r="M756" s="245">
        <v>13.1</v>
      </c>
      <c r="N756" s="245">
        <v>6.8</v>
      </c>
      <c r="O756" s="245">
        <v>-3.5</v>
      </c>
      <c r="P756" s="245">
        <v>-16.899999999999999</v>
      </c>
      <c r="Q756" s="245">
        <v>-24</v>
      </c>
      <c r="R756" s="246">
        <v>-5</v>
      </c>
      <c r="S756" s="233">
        <v>176</v>
      </c>
      <c r="T756" s="247" t="s">
        <v>1278</v>
      </c>
      <c r="U756" s="245">
        <v>-56</v>
      </c>
      <c r="V756" s="245">
        <v>-52</v>
      </c>
      <c r="W756" s="245">
        <v>-51</v>
      </c>
      <c r="X756" s="245">
        <v>-48</v>
      </c>
      <c r="Y756" s="245">
        <v>-30</v>
      </c>
      <c r="Z756" s="245">
        <v>-57</v>
      </c>
      <c r="AA756" s="245">
        <v>9</v>
      </c>
      <c r="AB756" s="245">
        <v>213</v>
      </c>
      <c r="AC756" s="245">
        <v>-15.5</v>
      </c>
      <c r="AD756" s="245">
        <v>266</v>
      </c>
      <c r="AE756" s="245">
        <v>-11.5</v>
      </c>
      <c r="AF756" s="245">
        <v>283</v>
      </c>
      <c r="AG756" s="245">
        <v>-10.4</v>
      </c>
      <c r="AH756" s="245">
        <v>81</v>
      </c>
      <c r="AI756" s="245">
        <v>81</v>
      </c>
      <c r="AJ756" s="245">
        <v>160</v>
      </c>
      <c r="AK756" s="245" t="s">
        <v>990</v>
      </c>
      <c r="AL756" s="245">
        <v>4.3</v>
      </c>
      <c r="AM756" s="246">
        <v>3.6</v>
      </c>
      <c r="AN756" s="235">
        <v>176</v>
      </c>
      <c r="AO756" s="247" t="s">
        <v>1279</v>
      </c>
      <c r="AP756" s="247">
        <v>1005</v>
      </c>
      <c r="AQ756" s="247">
        <v>20.3</v>
      </c>
      <c r="AR756" s="247">
        <v>24.6</v>
      </c>
      <c r="AS756" s="247">
        <v>22.7</v>
      </c>
      <c r="AT756" s="247">
        <v>35</v>
      </c>
      <c r="AU756" s="247">
        <v>11.1</v>
      </c>
      <c r="AV756" s="247">
        <v>70</v>
      </c>
      <c r="AW756" s="247">
        <v>59</v>
      </c>
      <c r="AX756" s="247">
        <v>415</v>
      </c>
      <c r="AY756" s="247">
        <v>90</v>
      </c>
      <c r="AZ756" s="247" t="s">
        <v>959</v>
      </c>
      <c r="BA756" s="248">
        <v>0</v>
      </c>
      <c r="BB756" s="235">
        <v>155</v>
      </c>
      <c r="BC756" s="247" t="s">
        <v>1277</v>
      </c>
      <c r="BD756" s="247">
        <v>1</v>
      </c>
      <c r="BE756" s="247">
        <v>1.1000000000000001</v>
      </c>
      <c r="BF756" s="247">
        <v>1.9</v>
      </c>
      <c r="BG756" s="247">
        <v>3.3</v>
      </c>
      <c r="BH756" s="247">
        <v>5.0999999999999996</v>
      </c>
      <c r="BI756" s="247">
        <v>9.6999999999999993</v>
      </c>
      <c r="BJ756" s="247">
        <v>13.7</v>
      </c>
      <c r="BK756" s="247">
        <v>11.9</v>
      </c>
      <c r="BL756" s="247">
        <v>8.1999999999999993</v>
      </c>
      <c r="BM756" s="247">
        <v>4.4000000000000004</v>
      </c>
      <c r="BN756" s="247">
        <v>1.8</v>
      </c>
      <c r="BO756" s="247">
        <v>1.1000000000000001</v>
      </c>
      <c r="BP756" s="248">
        <v>5.3</v>
      </c>
    </row>
    <row r="757" spans="1:68" ht="14.25" customHeight="1">
      <c r="A757" s="233">
        <v>100</v>
      </c>
      <c r="B757" s="234">
        <v>372</v>
      </c>
      <c r="C757" s="244" t="s">
        <v>928</v>
      </c>
      <c r="D757" s="244" t="s">
        <v>1280</v>
      </c>
      <c r="E757" s="244" t="s">
        <v>1281</v>
      </c>
      <c r="F757" s="245">
        <v>-16.399999999999999</v>
      </c>
      <c r="G757" s="245">
        <v>-15.9</v>
      </c>
      <c r="H757" s="245">
        <v>-9</v>
      </c>
      <c r="I757" s="245">
        <v>2.9</v>
      </c>
      <c r="J757" s="245">
        <v>11.1</v>
      </c>
      <c r="K757" s="245">
        <v>15.9</v>
      </c>
      <c r="L757" s="245">
        <v>17.600000000000001</v>
      </c>
      <c r="M757" s="245">
        <v>15.5</v>
      </c>
      <c r="N757" s="245">
        <v>9.8000000000000007</v>
      </c>
      <c r="O757" s="245">
        <v>1.5</v>
      </c>
      <c r="P757" s="245">
        <v>-6.5</v>
      </c>
      <c r="Q757" s="245">
        <v>-14</v>
      </c>
      <c r="R757" s="246">
        <v>1</v>
      </c>
      <c r="S757" s="233">
        <v>372</v>
      </c>
      <c r="T757" s="247" t="s">
        <v>1282</v>
      </c>
      <c r="U757" s="245">
        <v>-39</v>
      </c>
      <c r="V757" s="245">
        <v>-38</v>
      </c>
      <c r="W757" s="245">
        <v>-35</v>
      </c>
      <c r="X757" s="245">
        <v>-34</v>
      </c>
      <c r="Y757" s="245">
        <v>-21</v>
      </c>
      <c r="Z757" s="245">
        <v>-48</v>
      </c>
      <c r="AA757" s="245">
        <v>10.3</v>
      </c>
      <c r="AB757" s="245">
        <v>170</v>
      </c>
      <c r="AC757" s="245">
        <v>-11.1</v>
      </c>
      <c r="AD757" s="245">
        <v>221</v>
      </c>
      <c r="AE757" s="245">
        <v>-7.5</v>
      </c>
      <c r="AF757" s="245">
        <v>242</v>
      </c>
      <c r="AG757" s="245">
        <v>-6.1</v>
      </c>
      <c r="AH757" s="245">
        <v>78</v>
      </c>
      <c r="AI757" s="245">
        <v>75</v>
      </c>
      <c r="AJ757" s="245">
        <v>81</v>
      </c>
      <c r="AK757" s="245" t="s">
        <v>971</v>
      </c>
      <c r="AL757" s="245" t="s">
        <v>931</v>
      </c>
      <c r="AM757" s="246">
        <v>3.1</v>
      </c>
      <c r="AN757" s="235">
        <v>372</v>
      </c>
      <c r="AO757" s="247" t="s">
        <v>1283</v>
      </c>
      <c r="AP757" s="247">
        <v>976</v>
      </c>
      <c r="AQ757" s="247">
        <v>22</v>
      </c>
      <c r="AR757" s="247">
        <v>28</v>
      </c>
      <c r="AS757" s="247">
        <v>23.9</v>
      </c>
      <c r="AT757" s="247">
        <v>39</v>
      </c>
      <c r="AU757" s="247">
        <v>13.2</v>
      </c>
      <c r="AV757" s="247">
        <v>70</v>
      </c>
      <c r="AW757" s="247">
        <v>50</v>
      </c>
      <c r="AX757" s="247">
        <v>298</v>
      </c>
      <c r="AY757" s="247">
        <v>76</v>
      </c>
      <c r="AZ757" s="247" t="s">
        <v>978</v>
      </c>
      <c r="BA757" s="248" t="s">
        <v>934</v>
      </c>
      <c r="BB757" s="235">
        <v>337</v>
      </c>
      <c r="BC757" s="247" t="s">
        <v>1281</v>
      </c>
      <c r="BD757" s="247">
        <v>1.6</v>
      </c>
      <c r="BE757" s="247">
        <v>1.6</v>
      </c>
      <c r="BF757" s="247">
        <v>2.8</v>
      </c>
      <c r="BG757" s="247">
        <v>5.3</v>
      </c>
      <c r="BH757" s="247">
        <v>7.5</v>
      </c>
      <c r="BI757" s="247">
        <v>11.1</v>
      </c>
      <c r="BJ757" s="247">
        <v>13.6</v>
      </c>
      <c r="BK757" s="247">
        <v>11.8</v>
      </c>
      <c r="BL757" s="247">
        <v>8.1999999999999993</v>
      </c>
      <c r="BM757" s="247">
        <v>5.0999999999999996</v>
      </c>
      <c r="BN757" s="247">
        <v>3.3</v>
      </c>
      <c r="BO757" s="247">
        <v>2.1</v>
      </c>
      <c r="BP757" s="248">
        <v>6.1</v>
      </c>
    </row>
    <row r="758" spans="1:68" ht="14.25" customHeight="1">
      <c r="A758" s="233">
        <v>101</v>
      </c>
      <c r="B758" s="234">
        <v>46</v>
      </c>
      <c r="C758" s="244" t="s">
        <v>928</v>
      </c>
      <c r="D758" s="244" t="s">
        <v>1059</v>
      </c>
      <c r="E758" s="244" t="s">
        <v>1284</v>
      </c>
      <c r="F758" s="245">
        <v>-9.5</v>
      </c>
      <c r="G758" s="245">
        <v>-9.1</v>
      </c>
      <c r="H758" s="245">
        <v>-2.1</v>
      </c>
      <c r="I758" s="245">
        <v>9.6</v>
      </c>
      <c r="J758" s="245">
        <v>17.399999999999999</v>
      </c>
      <c r="K758" s="245">
        <v>22.3</v>
      </c>
      <c r="L758" s="245">
        <v>25.6</v>
      </c>
      <c r="M758" s="245">
        <v>23.5</v>
      </c>
      <c r="N758" s="245">
        <v>16.600000000000001</v>
      </c>
      <c r="O758" s="245">
        <v>7.6</v>
      </c>
      <c r="P758" s="245">
        <v>0.5</v>
      </c>
      <c r="Q758" s="245">
        <v>-5.7</v>
      </c>
      <c r="R758" s="246">
        <v>8</v>
      </c>
      <c r="S758" s="233">
        <v>46</v>
      </c>
      <c r="T758" s="247" t="s">
        <v>1285</v>
      </c>
      <c r="U758" s="245">
        <v>-32</v>
      </c>
      <c r="V758" s="245">
        <v>-30</v>
      </c>
      <c r="W758" s="245">
        <v>-28</v>
      </c>
      <c r="X758" s="245">
        <v>-26</v>
      </c>
      <c r="Y758" s="245">
        <v>-14</v>
      </c>
      <c r="Z758" s="245">
        <v>-37</v>
      </c>
      <c r="AA758" s="245">
        <v>7.2</v>
      </c>
      <c r="AB758" s="245">
        <v>124</v>
      </c>
      <c r="AC758" s="245">
        <v>-6.1</v>
      </c>
      <c r="AD758" s="245">
        <v>179</v>
      </c>
      <c r="AE758" s="245">
        <v>-3</v>
      </c>
      <c r="AF758" s="245">
        <v>191</v>
      </c>
      <c r="AG758" s="245">
        <v>-2.2000000000000002</v>
      </c>
      <c r="AH758" s="245">
        <v>84</v>
      </c>
      <c r="AI758" s="245">
        <v>84</v>
      </c>
      <c r="AJ758" s="245">
        <v>117</v>
      </c>
      <c r="AK758" s="245" t="s">
        <v>982</v>
      </c>
      <c r="AL758" s="245">
        <v>5.9</v>
      </c>
      <c r="AM758" s="246">
        <v>4.3</v>
      </c>
      <c r="AN758" s="235">
        <v>46</v>
      </c>
      <c r="AO758" s="247" t="s">
        <v>1286</v>
      </c>
      <c r="AP758" s="247">
        <v>1010</v>
      </c>
      <c r="AQ758" s="247">
        <v>29</v>
      </c>
      <c r="AR758" s="247">
        <v>32.799999999999997</v>
      </c>
      <c r="AS758" s="247">
        <v>31.4</v>
      </c>
      <c r="AT758" s="247">
        <v>45</v>
      </c>
      <c r="AU758" s="247">
        <v>13.1</v>
      </c>
      <c r="AV758" s="247">
        <v>45</v>
      </c>
      <c r="AW758" s="247">
        <v>32</v>
      </c>
      <c r="AX758" s="247">
        <v>156</v>
      </c>
      <c r="AY758" s="247">
        <v>58</v>
      </c>
      <c r="AZ758" s="247" t="s">
        <v>952</v>
      </c>
      <c r="BA758" s="248">
        <v>0</v>
      </c>
      <c r="BB758" s="235">
        <v>32</v>
      </c>
      <c r="BC758" s="247" t="s">
        <v>1284</v>
      </c>
      <c r="BD758" s="247">
        <v>2.9</v>
      </c>
      <c r="BE758" s="247">
        <v>3.2</v>
      </c>
      <c r="BF758" s="247">
        <v>4.7</v>
      </c>
      <c r="BG758" s="247">
        <v>7.1</v>
      </c>
      <c r="BH758" s="247">
        <v>9.5</v>
      </c>
      <c r="BI758" s="247">
        <v>12.1</v>
      </c>
      <c r="BJ758" s="247">
        <v>13.4</v>
      </c>
      <c r="BK758" s="247">
        <v>12.7</v>
      </c>
      <c r="BL758" s="247">
        <v>9.6999999999999993</v>
      </c>
      <c r="BM758" s="247">
        <v>7.2</v>
      </c>
      <c r="BN758" s="247">
        <v>5.6</v>
      </c>
      <c r="BO758" s="247">
        <v>4</v>
      </c>
      <c r="BP758" s="248">
        <v>7.7</v>
      </c>
    </row>
    <row r="759" spans="1:68" ht="14.25" customHeight="1">
      <c r="A759" s="233">
        <v>102</v>
      </c>
      <c r="B759" s="234">
        <v>86</v>
      </c>
      <c r="C759" s="244" t="s">
        <v>928</v>
      </c>
      <c r="D759" s="244" t="s">
        <v>1001</v>
      </c>
      <c r="E759" s="244" t="s">
        <v>1287</v>
      </c>
      <c r="F759" s="245">
        <v>-19.8</v>
      </c>
      <c r="G759" s="245">
        <v>-17.2</v>
      </c>
      <c r="H759" s="245">
        <v>-10.6</v>
      </c>
      <c r="I759" s="245">
        <v>-2.1</v>
      </c>
      <c r="J759" s="245">
        <v>4.8</v>
      </c>
      <c r="K759" s="245">
        <v>11.3</v>
      </c>
      <c r="L759" s="245">
        <v>13.7</v>
      </c>
      <c r="M759" s="245">
        <v>11</v>
      </c>
      <c r="N759" s="245">
        <v>4.9000000000000004</v>
      </c>
      <c r="O759" s="245">
        <v>-2.1</v>
      </c>
      <c r="P759" s="245">
        <v>-11.5</v>
      </c>
      <c r="Q759" s="245">
        <v>-18</v>
      </c>
      <c r="R759" s="246">
        <v>-3</v>
      </c>
      <c r="S759" s="233">
        <v>86</v>
      </c>
      <c r="T759" s="247" t="s">
        <v>1288</v>
      </c>
      <c r="U759" s="245">
        <v>-42</v>
      </c>
      <c r="V759" s="245">
        <v>-40</v>
      </c>
      <c r="W759" s="245">
        <v>-40</v>
      </c>
      <c r="X759" s="245">
        <v>-37</v>
      </c>
      <c r="Y759" s="245">
        <v>-25</v>
      </c>
      <c r="Z759" s="245">
        <v>-47</v>
      </c>
      <c r="AA759" s="245">
        <v>17</v>
      </c>
      <c r="AB759" s="245">
        <v>200</v>
      </c>
      <c r="AC759" s="245">
        <v>-12.1</v>
      </c>
      <c r="AD759" s="245">
        <v>273</v>
      </c>
      <c r="AE759" s="245">
        <v>-7.7</v>
      </c>
      <c r="AF759" s="245">
        <v>292</v>
      </c>
      <c r="AG759" s="245">
        <v>-6.6</v>
      </c>
      <c r="AH759" s="245">
        <v>75</v>
      </c>
      <c r="AI759" s="245">
        <v>61</v>
      </c>
      <c r="AJ759" s="245">
        <v>44</v>
      </c>
      <c r="AK759" s="245" t="s">
        <v>971</v>
      </c>
      <c r="AL759" s="245" t="s">
        <v>931</v>
      </c>
      <c r="AM759" s="246">
        <v>1.7</v>
      </c>
      <c r="AN759" s="235">
        <v>86</v>
      </c>
      <c r="AO759" s="247" t="s">
        <v>1289</v>
      </c>
      <c r="AP759" s="247">
        <v>910</v>
      </c>
      <c r="AQ759" s="247">
        <v>19.5</v>
      </c>
      <c r="AR759" s="247">
        <v>23.8</v>
      </c>
      <c r="AS759" s="247">
        <v>21.9</v>
      </c>
      <c r="AT759" s="247">
        <v>36</v>
      </c>
      <c r="AU759" s="247">
        <v>15.4</v>
      </c>
      <c r="AV759" s="247">
        <v>78</v>
      </c>
      <c r="AW759" s="247">
        <v>54</v>
      </c>
      <c r="AX759" s="247">
        <v>526</v>
      </c>
      <c r="AY759" s="247">
        <v>63</v>
      </c>
      <c r="AZ759" s="247" t="s">
        <v>1005</v>
      </c>
      <c r="BA759" s="248" t="s">
        <v>934</v>
      </c>
      <c r="BB759" s="235">
        <v>70</v>
      </c>
      <c r="BC759" s="247" t="s">
        <v>1287</v>
      </c>
      <c r="BD759" s="247">
        <v>1.1000000000000001</v>
      </c>
      <c r="BE759" s="247">
        <v>1.2</v>
      </c>
      <c r="BF759" s="247">
        <v>1.8</v>
      </c>
      <c r="BG759" s="247">
        <v>3.2</v>
      </c>
      <c r="BH759" s="247">
        <v>5.0999999999999996</v>
      </c>
      <c r="BI759" s="247">
        <v>9</v>
      </c>
      <c r="BJ759" s="247">
        <v>11.9</v>
      </c>
      <c r="BK759" s="247">
        <v>10.3</v>
      </c>
      <c r="BL759" s="247">
        <v>6.4</v>
      </c>
      <c r="BM759" s="247">
        <v>3.5</v>
      </c>
      <c r="BN759" s="247">
        <v>1.9</v>
      </c>
      <c r="BO759" s="247">
        <v>1.4</v>
      </c>
      <c r="BP759" s="248">
        <v>4.7</v>
      </c>
    </row>
    <row r="760" spans="1:68" ht="14.25" customHeight="1">
      <c r="A760" s="233">
        <v>103</v>
      </c>
      <c r="B760" s="234">
        <v>278</v>
      </c>
      <c r="C760" s="244" t="s">
        <v>928</v>
      </c>
      <c r="D760" s="244" t="s">
        <v>1290</v>
      </c>
      <c r="E760" s="244" t="s">
        <v>1291</v>
      </c>
      <c r="F760" s="245">
        <v>-17.3</v>
      </c>
      <c r="G760" s="245">
        <v>-15.1</v>
      </c>
      <c r="H760" s="245">
        <v>-7.7</v>
      </c>
      <c r="I760" s="245">
        <v>2.2999999999999998</v>
      </c>
      <c r="J760" s="245">
        <v>8.9</v>
      </c>
      <c r="K760" s="245">
        <v>14.7</v>
      </c>
      <c r="L760" s="245">
        <v>17</v>
      </c>
      <c r="M760" s="245">
        <v>14.4</v>
      </c>
      <c r="N760" s="245">
        <v>8.6999999999999993</v>
      </c>
      <c r="O760" s="245">
        <v>0.7</v>
      </c>
      <c r="P760" s="245">
        <v>-7.9</v>
      </c>
      <c r="Q760" s="245">
        <v>-15.1</v>
      </c>
      <c r="R760" s="246">
        <v>0.3</v>
      </c>
      <c r="S760" s="233">
        <v>278</v>
      </c>
      <c r="T760" s="247" t="s">
        <v>1292</v>
      </c>
      <c r="U760" s="245">
        <v>-46</v>
      </c>
      <c r="V760" s="245">
        <v>-42</v>
      </c>
      <c r="W760" s="245">
        <v>-41</v>
      </c>
      <c r="X760" s="245">
        <v>-37</v>
      </c>
      <c r="Y760" s="245">
        <v>-22</v>
      </c>
      <c r="Z760" s="245">
        <v>-52</v>
      </c>
      <c r="AA760" s="245">
        <v>10.1</v>
      </c>
      <c r="AB760" s="245">
        <v>172</v>
      </c>
      <c r="AC760" s="245">
        <v>-10.8</v>
      </c>
      <c r="AD760" s="245">
        <v>236</v>
      </c>
      <c r="AE760" s="245">
        <v>-6.8</v>
      </c>
      <c r="AF760" s="245">
        <v>255</v>
      </c>
      <c r="AG760" s="245">
        <v>-5.6</v>
      </c>
      <c r="AH760" s="245">
        <v>78</v>
      </c>
      <c r="AI760" s="245">
        <v>76</v>
      </c>
      <c r="AJ760" s="245">
        <v>118</v>
      </c>
      <c r="AK760" s="245" t="s">
        <v>990</v>
      </c>
      <c r="AL760" s="245" t="s">
        <v>931</v>
      </c>
      <c r="AM760" s="246">
        <v>2.9</v>
      </c>
      <c r="AN760" s="235">
        <v>296</v>
      </c>
      <c r="AO760" s="247" t="s">
        <v>1293</v>
      </c>
      <c r="AP760" s="247">
        <v>995</v>
      </c>
      <c r="AQ760" s="247">
        <v>21</v>
      </c>
      <c r="AR760" s="247">
        <v>25.2</v>
      </c>
      <c r="AS760" s="247">
        <v>23.4</v>
      </c>
      <c r="AT760" s="247">
        <v>36</v>
      </c>
      <c r="AU760" s="247">
        <v>12.1</v>
      </c>
      <c r="AV760" s="247">
        <v>71</v>
      </c>
      <c r="AW760" s="247">
        <v>56</v>
      </c>
      <c r="AX760" s="247">
        <v>381</v>
      </c>
      <c r="AY760" s="247">
        <v>58</v>
      </c>
      <c r="AZ760" s="247" t="s">
        <v>952</v>
      </c>
      <c r="BA760" s="248" t="s">
        <v>934</v>
      </c>
      <c r="BB760" s="235">
        <v>267</v>
      </c>
      <c r="BC760" s="247" t="s">
        <v>1291</v>
      </c>
      <c r="BD760" s="247">
        <v>1.6</v>
      </c>
      <c r="BE760" s="247">
        <v>1.6</v>
      </c>
      <c r="BF760" s="247">
        <v>2.7</v>
      </c>
      <c r="BG760" s="247">
        <v>4.8</v>
      </c>
      <c r="BH760" s="247">
        <v>6.9</v>
      </c>
      <c r="BI760" s="247">
        <v>10.7</v>
      </c>
      <c r="BJ760" s="247">
        <v>13.8</v>
      </c>
      <c r="BK760" s="247">
        <v>12.4</v>
      </c>
      <c r="BL760" s="247">
        <v>8.9</v>
      </c>
      <c r="BM760" s="247">
        <v>5.2</v>
      </c>
      <c r="BN760" s="247">
        <v>3.2</v>
      </c>
      <c r="BO760" s="247">
        <v>2</v>
      </c>
      <c r="BP760" s="248">
        <v>6.2</v>
      </c>
    </row>
    <row r="761" spans="1:68" ht="14.25" customHeight="1">
      <c r="A761" s="233">
        <v>104</v>
      </c>
      <c r="B761" s="234">
        <v>406</v>
      </c>
      <c r="C761" s="244" t="s">
        <v>928</v>
      </c>
      <c r="D761" s="244" t="s">
        <v>969</v>
      </c>
      <c r="E761" s="244" t="s">
        <v>1294</v>
      </c>
      <c r="F761" s="245">
        <v>-48.2</v>
      </c>
      <c r="G761" s="245">
        <v>-43.6</v>
      </c>
      <c r="H761" s="245">
        <v>-30.2</v>
      </c>
      <c r="I761" s="245">
        <v>-13.3</v>
      </c>
      <c r="J761" s="245">
        <v>2.1</v>
      </c>
      <c r="K761" s="245">
        <v>12.8</v>
      </c>
      <c r="L761" s="245">
        <v>15.2</v>
      </c>
      <c r="M761" s="245">
        <v>10.9</v>
      </c>
      <c r="N761" s="245">
        <v>2.5</v>
      </c>
      <c r="O761" s="245">
        <v>-14.5</v>
      </c>
      <c r="P761" s="245">
        <v>-36.4</v>
      </c>
      <c r="Q761" s="245">
        <v>-45.1</v>
      </c>
      <c r="R761" s="246">
        <v>-15.6</v>
      </c>
      <c r="S761" s="233">
        <v>406</v>
      </c>
      <c r="T761" s="247" t="s">
        <v>1294</v>
      </c>
      <c r="U761" s="245">
        <v>-63</v>
      </c>
      <c r="V761" s="245">
        <v>-61</v>
      </c>
      <c r="W761" s="245">
        <v>-62</v>
      </c>
      <c r="X761" s="245">
        <v>-59</v>
      </c>
      <c r="Y761" s="245">
        <v>-53</v>
      </c>
      <c r="Z761" s="245">
        <v>-68</v>
      </c>
      <c r="AA761" s="245">
        <v>7.3</v>
      </c>
      <c r="AB761" s="245">
        <v>234</v>
      </c>
      <c r="AC761" s="245">
        <v>-29.6</v>
      </c>
      <c r="AD761" s="245">
        <v>279</v>
      </c>
      <c r="AE761" s="245">
        <v>-24.1</v>
      </c>
      <c r="AF761" s="245">
        <v>292</v>
      </c>
      <c r="AG761" s="245">
        <v>-22.6</v>
      </c>
      <c r="AH761" s="245">
        <v>74</v>
      </c>
      <c r="AI761" s="245">
        <v>74</v>
      </c>
      <c r="AJ761" s="245">
        <v>37</v>
      </c>
      <c r="AK761" s="245" t="s">
        <v>971</v>
      </c>
      <c r="AL761" s="245">
        <v>2.1</v>
      </c>
      <c r="AM761" s="246">
        <v>1</v>
      </c>
      <c r="AN761" s="235">
        <v>406</v>
      </c>
      <c r="AO761" s="247" t="s">
        <v>1295</v>
      </c>
      <c r="AP761" s="247">
        <v>995</v>
      </c>
      <c r="AQ761" s="247">
        <v>20.7</v>
      </c>
      <c r="AR761" s="247">
        <v>25</v>
      </c>
      <c r="AS761" s="247">
        <v>22.1</v>
      </c>
      <c r="AT761" s="247">
        <v>36</v>
      </c>
      <c r="AU761" s="247">
        <v>13.8</v>
      </c>
      <c r="AV761" s="247">
        <v>63</v>
      </c>
      <c r="AW761" s="247">
        <v>56</v>
      </c>
      <c r="AX761" s="247">
        <v>137</v>
      </c>
      <c r="AY761" s="247">
        <v>33</v>
      </c>
      <c r="AZ761" s="247" t="s">
        <v>940</v>
      </c>
      <c r="BA761" s="248">
        <v>0</v>
      </c>
      <c r="BB761" s="235">
        <v>370</v>
      </c>
      <c r="BC761" s="247" t="s">
        <v>1294</v>
      </c>
      <c r="BD761" s="247">
        <v>0.1</v>
      </c>
      <c r="BE761" s="247">
        <v>0.2</v>
      </c>
      <c r="BF761" s="247">
        <v>0.5</v>
      </c>
      <c r="BG761" s="247">
        <v>1.7</v>
      </c>
      <c r="BH761" s="247">
        <v>4.3</v>
      </c>
      <c r="BI761" s="247">
        <v>8.1999999999999993</v>
      </c>
      <c r="BJ761" s="247">
        <v>10.5</v>
      </c>
      <c r="BK761" s="247">
        <v>9</v>
      </c>
      <c r="BL761" s="247">
        <v>5.4</v>
      </c>
      <c r="BM761" s="247">
        <v>2</v>
      </c>
      <c r="BN761" s="247">
        <v>0.3</v>
      </c>
      <c r="BO761" s="247">
        <v>0.1</v>
      </c>
      <c r="BP761" s="248">
        <v>3.5</v>
      </c>
    </row>
    <row r="762" spans="1:68" ht="14.25" customHeight="1">
      <c r="A762" s="233">
        <v>105</v>
      </c>
      <c r="B762" s="234">
        <v>407</v>
      </c>
      <c r="C762" s="244" t="s">
        <v>928</v>
      </c>
      <c r="D762" s="244" t="s">
        <v>969</v>
      </c>
      <c r="E762" s="244" t="s">
        <v>1296</v>
      </c>
      <c r="F762" s="245">
        <v>-37.799999999999997</v>
      </c>
      <c r="G762" s="245">
        <v>-32.1</v>
      </c>
      <c r="H762" s="245">
        <v>-20.2</v>
      </c>
      <c r="I762" s="245">
        <v>-7.5</v>
      </c>
      <c r="J762" s="245">
        <v>4.3</v>
      </c>
      <c r="K762" s="245">
        <v>14.4</v>
      </c>
      <c r="L762" s="245">
        <v>17.899999999999999</v>
      </c>
      <c r="M762" s="245">
        <v>14.1</v>
      </c>
      <c r="N762" s="245">
        <v>5.5</v>
      </c>
      <c r="O762" s="245">
        <v>-7.7</v>
      </c>
      <c r="P762" s="245">
        <v>-26.3</v>
      </c>
      <c r="Q762" s="245">
        <v>-35.9</v>
      </c>
      <c r="R762" s="246">
        <v>-9.3000000000000007</v>
      </c>
      <c r="S762" s="233">
        <v>407</v>
      </c>
      <c r="T762" s="247" t="s">
        <v>1296</v>
      </c>
      <c r="U762" s="245">
        <v>-58</v>
      </c>
      <c r="V762" s="245">
        <v>-56</v>
      </c>
      <c r="W762" s="245">
        <v>-53</v>
      </c>
      <c r="X762" s="245">
        <v>-52</v>
      </c>
      <c r="Y762" s="245">
        <v>-43</v>
      </c>
      <c r="Z762" s="245">
        <v>-61</v>
      </c>
      <c r="AA762" s="245">
        <v>8.3000000000000007</v>
      </c>
      <c r="AB762" s="245">
        <v>219</v>
      </c>
      <c r="AC762" s="245">
        <v>-22.7</v>
      </c>
      <c r="AD762" s="245">
        <v>262</v>
      </c>
      <c r="AE762" s="245">
        <v>-18.2</v>
      </c>
      <c r="AF762" s="245">
        <v>276</v>
      </c>
      <c r="AG762" s="245">
        <v>-16.899999999999999</v>
      </c>
      <c r="AH762" s="245">
        <v>75</v>
      </c>
      <c r="AI762" s="245">
        <v>75</v>
      </c>
      <c r="AJ762" s="245">
        <v>65</v>
      </c>
      <c r="AK762" s="245" t="s">
        <v>971</v>
      </c>
      <c r="AL762" s="245">
        <v>3</v>
      </c>
      <c r="AM762" s="246">
        <v>2.2000000000000002</v>
      </c>
      <c r="AN762" s="235">
        <v>407</v>
      </c>
      <c r="AO762" s="247" t="s">
        <v>1297</v>
      </c>
      <c r="AP762" s="247">
        <v>995</v>
      </c>
      <c r="AQ762" s="247">
        <v>22.8</v>
      </c>
      <c r="AR762" s="247">
        <v>26.5</v>
      </c>
      <c r="AS762" s="247">
        <v>24.5</v>
      </c>
      <c r="AT762" s="247">
        <v>37</v>
      </c>
      <c r="AU762" s="247">
        <v>12.8</v>
      </c>
      <c r="AV762" s="247">
        <v>61</v>
      </c>
      <c r="AW762" s="247">
        <v>51</v>
      </c>
      <c r="AX762" s="247">
        <v>207</v>
      </c>
      <c r="AY762" s="247">
        <v>71</v>
      </c>
      <c r="AZ762" s="247" t="s">
        <v>1005</v>
      </c>
      <c r="BA762" s="248">
        <v>0</v>
      </c>
      <c r="BB762" s="235">
        <v>371</v>
      </c>
      <c r="BC762" s="247" t="s">
        <v>1296</v>
      </c>
      <c r="BD762" s="247">
        <v>0.3</v>
      </c>
      <c r="BE762" s="247">
        <v>0.4</v>
      </c>
      <c r="BF762" s="247">
        <v>1.1000000000000001</v>
      </c>
      <c r="BG762" s="247">
        <v>2.4</v>
      </c>
      <c r="BH762" s="247">
        <v>4.8</v>
      </c>
      <c r="BI762" s="247">
        <v>9.1999999999999993</v>
      </c>
      <c r="BJ762" s="247">
        <v>12.3</v>
      </c>
      <c r="BK762" s="247">
        <v>10.7</v>
      </c>
      <c r="BL762" s="247">
        <v>6.5</v>
      </c>
      <c r="BM762" s="247">
        <v>3</v>
      </c>
      <c r="BN762" s="247">
        <v>0.8</v>
      </c>
      <c r="BO762" s="247">
        <v>0.4</v>
      </c>
      <c r="BP762" s="248">
        <v>4.3</v>
      </c>
    </row>
    <row r="763" spans="1:68" ht="14.25" customHeight="1">
      <c r="A763" s="233">
        <v>106</v>
      </c>
      <c r="B763" s="234">
        <v>607</v>
      </c>
      <c r="C763" s="244" t="s">
        <v>953</v>
      </c>
      <c r="D763" s="244" t="s">
        <v>1298</v>
      </c>
      <c r="E763" s="244" t="s">
        <v>1299</v>
      </c>
      <c r="F763" s="245">
        <v>-5.8</v>
      </c>
      <c r="G763" s="245">
        <v>-4.3</v>
      </c>
      <c r="H763" s="245">
        <v>0.2</v>
      </c>
      <c r="I763" s="245">
        <v>8</v>
      </c>
      <c r="J763" s="245">
        <v>14.1</v>
      </c>
      <c r="K763" s="245">
        <v>17.100000000000001</v>
      </c>
      <c r="L763" s="245">
        <v>18.3</v>
      </c>
      <c r="M763" s="245">
        <v>17.7</v>
      </c>
      <c r="N763" s="245">
        <v>13.4</v>
      </c>
      <c r="O763" s="245">
        <v>7.6</v>
      </c>
      <c r="P763" s="245">
        <v>1.9</v>
      </c>
      <c r="Q763" s="245">
        <v>-2.5</v>
      </c>
      <c r="R763" s="246">
        <v>7.1</v>
      </c>
      <c r="S763" s="233">
        <v>596</v>
      </c>
      <c r="T763" s="247" t="s">
        <v>1299</v>
      </c>
      <c r="U763" s="245">
        <v>-29</v>
      </c>
      <c r="V763" s="245">
        <v>-26</v>
      </c>
      <c r="W763" s="245">
        <v>-25</v>
      </c>
      <c r="X763" s="245">
        <v>-21</v>
      </c>
      <c r="Y763" s="245">
        <v>-10</v>
      </c>
      <c r="Z763" s="245">
        <v>-36</v>
      </c>
      <c r="AA763" s="245" t="s">
        <v>956</v>
      </c>
      <c r="AB763" s="245">
        <v>107</v>
      </c>
      <c r="AC763" s="245">
        <v>-3.7</v>
      </c>
      <c r="AD763" s="245">
        <v>180</v>
      </c>
      <c r="AE763" s="245">
        <v>-0.7</v>
      </c>
      <c r="AF763" s="245">
        <v>198</v>
      </c>
      <c r="AG763" s="245">
        <v>0.2</v>
      </c>
      <c r="AH763" s="245" t="s">
        <v>956</v>
      </c>
      <c r="AI763" s="245" t="s">
        <v>956</v>
      </c>
      <c r="AJ763" s="245">
        <v>194</v>
      </c>
      <c r="AK763" s="245" t="s">
        <v>963</v>
      </c>
      <c r="AL763" s="245" t="s">
        <v>931</v>
      </c>
      <c r="AM763" s="246" t="s">
        <v>931</v>
      </c>
      <c r="AN763" s="235">
        <v>597</v>
      </c>
      <c r="AO763" s="247" t="s">
        <v>1300</v>
      </c>
      <c r="AP763" s="247">
        <v>980</v>
      </c>
      <c r="AQ763" s="247">
        <v>27</v>
      </c>
      <c r="AR763" s="247">
        <v>23</v>
      </c>
      <c r="AS763" s="247">
        <v>24</v>
      </c>
      <c r="AT763" s="247">
        <v>38</v>
      </c>
      <c r="AU763" s="247" t="s">
        <v>934</v>
      </c>
      <c r="AV763" s="247" t="s">
        <v>958</v>
      </c>
      <c r="AW763" s="247" t="s">
        <v>931</v>
      </c>
      <c r="AX763" s="247" t="s">
        <v>931</v>
      </c>
      <c r="AY763" s="247">
        <v>112</v>
      </c>
      <c r="AZ763" s="247" t="s">
        <v>959</v>
      </c>
      <c r="BA763" s="248">
        <v>1.3</v>
      </c>
      <c r="BB763" s="235"/>
      <c r="BC763" s="247" t="s">
        <v>1299</v>
      </c>
      <c r="BD763" s="247"/>
      <c r="BE763" s="247"/>
      <c r="BF763" s="247"/>
      <c r="BG763" s="247"/>
      <c r="BH763" s="247"/>
      <c r="BI763" s="247"/>
      <c r="BJ763" s="247"/>
      <c r="BK763" s="247"/>
      <c r="BL763" s="247"/>
      <c r="BM763" s="247"/>
      <c r="BN763" s="247"/>
      <c r="BO763" s="247"/>
      <c r="BP763" s="248"/>
    </row>
    <row r="764" spans="1:68" ht="14.25" customHeight="1">
      <c r="A764" s="233">
        <v>107</v>
      </c>
      <c r="B764" s="234">
        <v>470</v>
      </c>
      <c r="C764" s="244" t="s">
        <v>1220</v>
      </c>
      <c r="D764" s="244" t="s">
        <v>1301</v>
      </c>
      <c r="E764" s="244" t="s">
        <v>1302</v>
      </c>
      <c r="F764" s="245">
        <v>-7.9</v>
      </c>
      <c r="G764" s="245">
        <v>-7.2</v>
      </c>
      <c r="H764" s="245">
        <v>-2.7</v>
      </c>
      <c r="I764" s="245">
        <v>5.0999999999999996</v>
      </c>
      <c r="J764" s="245">
        <v>12.6</v>
      </c>
      <c r="K764" s="245">
        <v>16</v>
      </c>
      <c r="L764" s="245">
        <v>17.8</v>
      </c>
      <c r="M764" s="245">
        <v>16.2</v>
      </c>
      <c r="N764" s="245">
        <v>11.1</v>
      </c>
      <c r="O764" s="245">
        <v>5.3</v>
      </c>
      <c r="P764" s="245">
        <v>-0.3</v>
      </c>
      <c r="Q764" s="245">
        <v>-5.0999999999999996</v>
      </c>
      <c r="R764" s="246">
        <v>5.0999999999999996</v>
      </c>
      <c r="S764" s="233">
        <v>470</v>
      </c>
      <c r="T764" s="247" t="s">
        <v>1303</v>
      </c>
      <c r="U764" s="245">
        <v>-36</v>
      </c>
      <c r="V764" s="245">
        <v>-31</v>
      </c>
      <c r="W764" s="245">
        <v>-30</v>
      </c>
      <c r="X764" s="245">
        <v>-25</v>
      </c>
      <c r="Y764" s="245">
        <v>-12</v>
      </c>
      <c r="Z764" s="245">
        <v>-41</v>
      </c>
      <c r="AA764" s="245">
        <v>6.2</v>
      </c>
      <c r="AB764" s="245">
        <v>135</v>
      </c>
      <c r="AC764" s="245">
        <v>-5.3</v>
      </c>
      <c r="AD764" s="245">
        <v>207</v>
      </c>
      <c r="AE764" s="245">
        <v>-2.1</v>
      </c>
      <c r="AF764" s="245">
        <v>225</v>
      </c>
      <c r="AG764" s="245">
        <v>-1.2</v>
      </c>
      <c r="AH764" s="245">
        <v>85</v>
      </c>
      <c r="AI764" s="245">
        <v>80</v>
      </c>
      <c r="AJ764" s="245">
        <v>202</v>
      </c>
      <c r="AK764" s="245" t="s">
        <v>963</v>
      </c>
      <c r="AL764" s="245">
        <v>4.8</v>
      </c>
      <c r="AM764" s="246">
        <v>4.3</v>
      </c>
      <c r="AN764" s="235">
        <v>470</v>
      </c>
      <c r="AO764" s="247" t="s">
        <v>1304</v>
      </c>
      <c r="AP764" s="247">
        <v>995</v>
      </c>
      <c r="AQ764" s="247">
        <v>21</v>
      </c>
      <c r="AR764" s="247">
        <v>25</v>
      </c>
      <c r="AS764" s="247">
        <v>23</v>
      </c>
      <c r="AT764" s="247">
        <v>35</v>
      </c>
      <c r="AU764" s="247">
        <v>10.3</v>
      </c>
      <c r="AV764" s="247">
        <v>74</v>
      </c>
      <c r="AW764" s="247">
        <v>61</v>
      </c>
      <c r="AX764" s="247">
        <v>463</v>
      </c>
      <c r="AY764" s="247">
        <v>107</v>
      </c>
      <c r="AZ764" s="247" t="s">
        <v>952</v>
      </c>
      <c r="BA764" s="248">
        <v>3.1</v>
      </c>
      <c r="BB764" s="235"/>
      <c r="BC764" s="247" t="s">
        <v>1303</v>
      </c>
      <c r="BD764" s="247"/>
      <c r="BE764" s="247"/>
      <c r="BF764" s="247"/>
      <c r="BG764" s="247"/>
      <c r="BH764" s="247"/>
      <c r="BI764" s="247"/>
      <c r="BJ764" s="247"/>
      <c r="BK764" s="247"/>
      <c r="BL764" s="247"/>
      <c r="BM764" s="247"/>
      <c r="BN764" s="247"/>
      <c r="BO764" s="247"/>
      <c r="BP764" s="248"/>
    </row>
    <row r="765" spans="1:68" ht="14.25" customHeight="1">
      <c r="A765" s="233">
        <v>108</v>
      </c>
      <c r="B765" s="234">
        <v>408</v>
      </c>
      <c r="C765" s="244" t="s">
        <v>928</v>
      </c>
      <c r="D765" s="244" t="s">
        <v>969</v>
      </c>
      <c r="E765" s="244" t="s">
        <v>1305</v>
      </c>
      <c r="F765" s="245">
        <v>-29.2</v>
      </c>
      <c r="G765" s="245">
        <v>-26.9</v>
      </c>
      <c r="H765" s="245">
        <v>-16.100000000000001</v>
      </c>
      <c r="I765" s="245">
        <v>-3.9</v>
      </c>
      <c r="J765" s="245">
        <v>5.7</v>
      </c>
      <c r="K765" s="245">
        <v>14.3</v>
      </c>
      <c r="L765" s="245">
        <v>17.8</v>
      </c>
      <c r="M765" s="245">
        <v>14.2</v>
      </c>
      <c r="N765" s="245">
        <v>6.4</v>
      </c>
      <c r="O765" s="245">
        <v>-3.4</v>
      </c>
      <c r="P765" s="245">
        <v>-18.600000000000001</v>
      </c>
      <c r="Q765" s="245">
        <v>-27.6</v>
      </c>
      <c r="R765" s="246">
        <v>-5.6</v>
      </c>
      <c r="S765" s="233">
        <v>408</v>
      </c>
      <c r="T765" s="247" t="s">
        <v>1305</v>
      </c>
      <c r="U765" s="245">
        <v>-56</v>
      </c>
      <c r="V765" s="245">
        <v>-54</v>
      </c>
      <c r="W765" s="245">
        <v>-53</v>
      </c>
      <c r="X765" s="245">
        <v>-51</v>
      </c>
      <c r="Y765" s="245">
        <v>-34</v>
      </c>
      <c r="Z765" s="245">
        <v>-61</v>
      </c>
      <c r="AA765" s="245">
        <v>11.2</v>
      </c>
      <c r="AB765" s="245">
        <v>204</v>
      </c>
      <c r="AC765" s="245">
        <v>-18.2</v>
      </c>
      <c r="AD765" s="245">
        <v>257</v>
      </c>
      <c r="AE765" s="245">
        <v>-13.7</v>
      </c>
      <c r="AF765" s="245">
        <v>272</v>
      </c>
      <c r="AG765" s="245">
        <v>-12.4</v>
      </c>
      <c r="AH765" s="245">
        <v>76</v>
      </c>
      <c r="AI765" s="245">
        <v>74</v>
      </c>
      <c r="AJ765" s="245">
        <v>119</v>
      </c>
      <c r="AK765" s="245" t="s">
        <v>963</v>
      </c>
      <c r="AL765" s="245">
        <v>4.9000000000000004</v>
      </c>
      <c r="AM765" s="246">
        <v>2.4</v>
      </c>
      <c r="AN765" s="235">
        <v>408</v>
      </c>
      <c r="AO765" s="247" t="s">
        <v>1306</v>
      </c>
      <c r="AP765" s="247">
        <v>985</v>
      </c>
      <c r="AQ765" s="247">
        <v>22.2</v>
      </c>
      <c r="AR765" s="247">
        <v>26.3</v>
      </c>
      <c r="AS765" s="247">
        <v>25.1</v>
      </c>
      <c r="AT765" s="247">
        <v>37</v>
      </c>
      <c r="AU765" s="247">
        <v>14</v>
      </c>
      <c r="AV765" s="247">
        <v>72</v>
      </c>
      <c r="AW765" s="247">
        <v>63</v>
      </c>
      <c r="AX765" s="247">
        <v>306</v>
      </c>
      <c r="AY765" s="247">
        <v>57</v>
      </c>
      <c r="AZ765" s="247" t="s">
        <v>1005</v>
      </c>
      <c r="BA765" s="248">
        <v>0</v>
      </c>
      <c r="BB765" s="235">
        <v>372</v>
      </c>
      <c r="BC765" s="247" t="s">
        <v>1305</v>
      </c>
      <c r="BD765" s="247">
        <v>0.7</v>
      </c>
      <c r="BE765" s="247">
        <v>0.8</v>
      </c>
      <c r="BF765" s="247">
        <v>1.6</v>
      </c>
      <c r="BG765" s="247">
        <v>3.2</v>
      </c>
      <c r="BH765" s="247">
        <v>5.6</v>
      </c>
      <c r="BI765" s="247">
        <v>10.7</v>
      </c>
      <c r="BJ765" s="247">
        <v>14.3</v>
      </c>
      <c r="BK765" s="247">
        <v>12.6</v>
      </c>
      <c r="BL765" s="247">
        <v>7.6</v>
      </c>
      <c r="BM765" s="247">
        <v>4</v>
      </c>
      <c r="BN765" s="247">
        <v>1.5</v>
      </c>
      <c r="BO765" s="247">
        <v>0.8</v>
      </c>
      <c r="BP765" s="248">
        <v>5.3</v>
      </c>
    </row>
    <row r="766" spans="1:68" ht="14.25" customHeight="1">
      <c r="A766" s="233">
        <v>109</v>
      </c>
      <c r="B766" s="234">
        <v>259</v>
      </c>
      <c r="C766" s="244" t="s">
        <v>928</v>
      </c>
      <c r="D766" s="244" t="s">
        <v>941</v>
      </c>
      <c r="E766" s="244" t="s">
        <v>153</v>
      </c>
      <c r="F766" s="245">
        <v>-13.1</v>
      </c>
      <c r="G766" s="245">
        <v>-9.8000000000000007</v>
      </c>
      <c r="H766" s="245">
        <v>-2.4</v>
      </c>
      <c r="I766" s="245">
        <v>4.8</v>
      </c>
      <c r="J766" s="245">
        <v>9.9</v>
      </c>
      <c r="K766" s="245">
        <v>13.8</v>
      </c>
      <c r="L766" s="245">
        <v>18.5</v>
      </c>
      <c r="M766" s="245">
        <v>21</v>
      </c>
      <c r="N766" s="245">
        <v>16.8</v>
      </c>
      <c r="O766" s="245">
        <v>9.6999999999999993</v>
      </c>
      <c r="P766" s="245">
        <v>-0.3</v>
      </c>
      <c r="Q766" s="245">
        <v>-9.1999999999999993</v>
      </c>
      <c r="R766" s="246">
        <v>5</v>
      </c>
      <c r="S766" s="233">
        <v>259</v>
      </c>
      <c r="T766" s="247" t="s">
        <v>1307</v>
      </c>
      <c r="U766" s="245">
        <v>-27</v>
      </c>
      <c r="V766" s="245">
        <v>-26</v>
      </c>
      <c r="W766" s="245">
        <v>-25</v>
      </c>
      <c r="X766" s="245">
        <v>-24</v>
      </c>
      <c r="Y766" s="245">
        <v>-18</v>
      </c>
      <c r="Z766" s="245">
        <v>-30</v>
      </c>
      <c r="AA766" s="245">
        <v>8.6999999999999993</v>
      </c>
      <c r="AB766" s="245">
        <v>132</v>
      </c>
      <c r="AC766" s="245">
        <v>-7.7</v>
      </c>
      <c r="AD766" s="245">
        <v>196</v>
      </c>
      <c r="AE766" s="245">
        <v>-3.9</v>
      </c>
      <c r="AF766" s="245">
        <v>214</v>
      </c>
      <c r="AG766" s="245">
        <v>-2.7</v>
      </c>
      <c r="AH766" s="245">
        <v>61</v>
      </c>
      <c r="AI766" s="245">
        <v>58</v>
      </c>
      <c r="AJ766" s="245">
        <v>129</v>
      </c>
      <c r="AK766" s="245" t="s">
        <v>996</v>
      </c>
      <c r="AL766" s="245">
        <v>9</v>
      </c>
      <c r="AM766" s="246">
        <v>6.9</v>
      </c>
      <c r="AN766" s="235">
        <v>259</v>
      </c>
      <c r="AO766" s="247" t="s">
        <v>1308</v>
      </c>
      <c r="AP766" s="247">
        <v>1010</v>
      </c>
      <c r="AQ766" s="247">
        <v>21.4</v>
      </c>
      <c r="AR766" s="247">
        <v>24.5</v>
      </c>
      <c r="AS766" s="247">
        <v>24.8</v>
      </c>
      <c r="AT766" s="247">
        <v>35</v>
      </c>
      <c r="AU766" s="247">
        <v>6.5</v>
      </c>
      <c r="AV766" s="247">
        <v>84</v>
      </c>
      <c r="AW766" s="247">
        <v>81</v>
      </c>
      <c r="AX766" s="247">
        <v>641</v>
      </c>
      <c r="AY766" s="247">
        <v>210</v>
      </c>
      <c r="AZ766" s="247" t="s">
        <v>946</v>
      </c>
      <c r="BA766" s="248">
        <v>4.7</v>
      </c>
      <c r="BB766" s="235">
        <v>230</v>
      </c>
      <c r="BC766" s="247" t="s">
        <v>153</v>
      </c>
      <c r="BD766" s="247">
        <v>1.6</v>
      </c>
      <c r="BE766" s="247">
        <v>2</v>
      </c>
      <c r="BF766" s="247">
        <v>3.5</v>
      </c>
      <c r="BG766" s="247">
        <v>5.9</v>
      </c>
      <c r="BH766" s="247">
        <v>9.1999999999999993</v>
      </c>
      <c r="BI766" s="247">
        <v>13.8</v>
      </c>
      <c r="BJ766" s="247">
        <v>19</v>
      </c>
      <c r="BK766" s="247">
        <v>21</v>
      </c>
      <c r="BL766" s="247">
        <v>14.8</v>
      </c>
      <c r="BM766" s="247">
        <v>8.6999999999999993</v>
      </c>
      <c r="BN766" s="247">
        <v>4.2</v>
      </c>
      <c r="BO766" s="247">
        <v>2.2000000000000002</v>
      </c>
      <c r="BP766" s="248">
        <v>8.8000000000000007</v>
      </c>
    </row>
    <row r="767" spans="1:68" ht="14.25" customHeight="1">
      <c r="A767" s="233">
        <v>110</v>
      </c>
      <c r="B767" s="234">
        <v>302</v>
      </c>
      <c r="C767" s="244" t="s">
        <v>928</v>
      </c>
      <c r="D767" s="244" t="s">
        <v>1309</v>
      </c>
      <c r="E767" s="244" t="s">
        <v>1310</v>
      </c>
      <c r="F767" s="245">
        <v>-4.4000000000000004</v>
      </c>
      <c r="G767" s="245">
        <v>-3</v>
      </c>
      <c r="H767" s="245">
        <v>1.4</v>
      </c>
      <c r="I767" s="245">
        <v>9</v>
      </c>
      <c r="J767" s="245">
        <v>14.2</v>
      </c>
      <c r="K767" s="245">
        <v>17.600000000000001</v>
      </c>
      <c r="L767" s="245">
        <v>19.899999999999999</v>
      </c>
      <c r="M767" s="245">
        <v>19.3</v>
      </c>
      <c r="N767" s="245">
        <v>14.8</v>
      </c>
      <c r="O767" s="245">
        <v>8.6999999999999993</v>
      </c>
      <c r="P767" s="245">
        <v>3.1</v>
      </c>
      <c r="Q767" s="245">
        <v>-1.6</v>
      </c>
      <c r="R767" s="246">
        <v>8.1</v>
      </c>
      <c r="S767" s="233">
        <v>302</v>
      </c>
      <c r="T767" s="247" t="s">
        <v>1311</v>
      </c>
      <c r="U767" s="245">
        <v>-24</v>
      </c>
      <c r="V767" s="245">
        <v>-20</v>
      </c>
      <c r="W767" s="245">
        <v>-20</v>
      </c>
      <c r="X767" s="245">
        <v>-18</v>
      </c>
      <c r="Y767" s="245">
        <v>-9</v>
      </c>
      <c r="Z767" s="245">
        <v>-28</v>
      </c>
      <c r="AA767" s="245">
        <v>9.5</v>
      </c>
      <c r="AB767" s="245">
        <v>91</v>
      </c>
      <c r="AC767" s="245">
        <v>-2.7</v>
      </c>
      <c r="AD767" s="245">
        <v>174</v>
      </c>
      <c r="AE767" s="245">
        <v>0.4</v>
      </c>
      <c r="AF767" s="245">
        <v>194</v>
      </c>
      <c r="AG767" s="245">
        <v>1.3</v>
      </c>
      <c r="AH767" s="245">
        <v>82</v>
      </c>
      <c r="AI767" s="245">
        <v>77</v>
      </c>
      <c r="AJ767" s="245">
        <v>163</v>
      </c>
      <c r="AK767" s="245" t="s">
        <v>990</v>
      </c>
      <c r="AL767" s="245">
        <v>3</v>
      </c>
      <c r="AM767" s="246">
        <v>1.6</v>
      </c>
      <c r="AN767" s="235">
        <v>302</v>
      </c>
      <c r="AO767" s="247" t="s">
        <v>1312</v>
      </c>
      <c r="AP767" s="247">
        <v>940</v>
      </c>
      <c r="AQ767" s="247">
        <v>23</v>
      </c>
      <c r="AR767" s="247">
        <v>27.1</v>
      </c>
      <c r="AS767" s="247">
        <v>25.4</v>
      </c>
      <c r="AT767" s="247">
        <v>38</v>
      </c>
      <c r="AU767" s="247">
        <v>10.4</v>
      </c>
      <c r="AV767" s="247">
        <v>75</v>
      </c>
      <c r="AW767" s="247">
        <v>61</v>
      </c>
      <c r="AX767" s="247">
        <v>721</v>
      </c>
      <c r="AY767" s="247">
        <v>131</v>
      </c>
      <c r="AZ767" s="247" t="s">
        <v>973</v>
      </c>
      <c r="BA767" s="248">
        <v>0</v>
      </c>
      <c r="BB767" s="235">
        <v>273</v>
      </c>
      <c r="BC767" s="247" t="s">
        <v>1310</v>
      </c>
      <c r="BD767" s="247">
        <v>3.8</v>
      </c>
      <c r="BE767" s="247">
        <v>4.3</v>
      </c>
      <c r="BF767" s="247">
        <v>5.6</v>
      </c>
      <c r="BG767" s="247">
        <v>8.3000000000000007</v>
      </c>
      <c r="BH767" s="247">
        <v>12.3</v>
      </c>
      <c r="BI767" s="247">
        <v>15</v>
      </c>
      <c r="BJ767" s="247">
        <v>17.3</v>
      </c>
      <c r="BK767" s="247">
        <v>16.899999999999999</v>
      </c>
      <c r="BL767" s="247">
        <v>13.2</v>
      </c>
      <c r="BM767" s="247">
        <v>9.1</v>
      </c>
      <c r="BN767" s="247">
        <v>6.4</v>
      </c>
      <c r="BO767" s="247">
        <v>4.5999999999999996</v>
      </c>
      <c r="BP767" s="248">
        <v>9.6999999999999993</v>
      </c>
    </row>
    <row r="768" spans="1:68" ht="14.25" customHeight="1">
      <c r="A768" s="233">
        <v>111</v>
      </c>
      <c r="B768" s="234">
        <v>64</v>
      </c>
      <c r="C768" s="244" t="s">
        <v>928</v>
      </c>
      <c r="D768" s="244" t="s">
        <v>1313</v>
      </c>
      <c r="E768" s="244" t="s">
        <v>154</v>
      </c>
      <c r="F768" s="245">
        <v>-11.1</v>
      </c>
      <c r="G768" s="245">
        <v>-10</v>
      </c>
      <c r="H768" s="245">
        <v>-4.3</v>
      </c>
      <c r="I768" s="245">
        <v>4.9000000000000004</v>
      </c>
      <c r="J768" s="245">
        <v>12.2</v>
      </c>
      <c r="K768" s="245">
        <v>16.600000000000001</v>
      </c>
      <c r="L768" s="245">
        <v>17.899999999999999</v>
      </c>
      <c r="M768" s="245">
        <v>16.399999999999999</v>
      </c>
      <c r="N768" s="245">
        <v>10.7</v>
      </c>
      <c r="O768" s="245">
        <v>3.7</v>
      </c>
      <c r="P768" s="245">
        <v>-2.7</v>
      </c>
      <c r="Q768" s="245">
        <v>-7.5</v>
      </c>
      <c r="R768" s="246">
        <v>3.9</v>
      </c>
      <c r="S768" s="233">
        <v>64</v>
      </c>
      <c r="T768" s="247" t="s">
        <v>1314</v>
      </c>
      <c r="U768" s="245">
        <v>-38</v>
      </c>
      <c r="V768" s="245">
        <v>-34</v>
      </c>
      <c r="W768" s="245">
        <v>-32</v>
      </c>
      <c r="X768" s="245">
        <v>-28</v>
      </c>
      <c r="Y768" s="245">
        <v>-16</v>
      </c>
      <c r="Z768" s="245">
        <v>-48</v>
      </c>
      <c r="AA768" s="245">
        <v>6.3</v>
      </c>
      <c r="AB768" s="245">
        <v>148</v>
      </c>
      <c r="AC768" s="245">
        <v>-6.9</v>
      </c>
      <c r="AD768" s="245">
        <v>213</v>
      </c>
      <c r="AE768" s="245">
        <v>-3.5</v>
      </c>
      <c r="AF768" s="245">
        <v>230</v>
      </c>
      <c r="AG768" s="245">
        <v>-2.6</v>
      </c>
      <c r="AH768" s="245">
        <v>84</v>
      </c>
      <c r="AI768" s="245">
        <v>83</v>
      </c>
      <c r="AJ768" s="245">
        <v>194</v>
      </c>
      <c r="AK768" s="245" t="s">
        <v>963</v>
      </c>
      <c r="AL768" s="245">
        <v>4.5</v>
      </c>
      <c r="AM768" s="246">
        <v>3.4</v>
      </c>
      <c r="AN768" s="235">
        <v>64</v>
      </c>
      <c r="AO768" s="247" t="s">
        <v>1315</v>
      </c>
      <c r="AP768" s="247">
        <v>995</v>
      </c>
      <c r="AQ768" s="247">
        <v>20.8</v>
      </c>
      <c r="AR768" s="247">
        <v>25</v>
      </c>
      <c r="AS768" s="247">
        <v>23.3</v>
      </c>
      <c r="AT768" s="247">
        <v>37</v>
      </c>
      <c r="AU768" s="247">
        <v>9.8000000000000007</v>
      </c>
      <c r="AV768" s="247">
        <v>72</v>
      </c>
      <c r="AW768" s="247">
        <v>57</v>
      </c>
      <c r="AX768" s="247">
        <v>413</v>
      </c>
      <c r="AY768" s="247">
        <v>109</v>
      </c>
      <c r="AZ768" s="247" t="s">
        <v>1005</v>
      </c>
      <c r="BA768" s="248">
        <v>3.3</v>
      </c>
      <c r="BB768" s="235">
        <v>50</v>
      </c>
      <c r="BC768" s="247" t="s">
        <v>154</v>
      </c>
      <c r="BD768" s="247">
        <v>2.6</v>
      </c>
      <c r="BE768" s="247">
        <v>2.6</v>
      </c>
      <c r="BF768" s="247">
        <v>3.6</v>
      </c>
      <c r="BG768" s="247">
        <v>6.1</v>
      </c>
      <c r="BH768" s="247">
        <v>9</v>
      </c>
      <c r="BI768" s="247">
        <v>12.4</v>
      </c>
      <c r="BJ768" s="247">
        <v>14.6</v>
      </c>
      <c r="BK768" s="247">
        <v>14.3</v>
      </c>
      <c r="BL768" s="247">
        <v>10.199999999999999</v>
      </c>
      <c r="BM768" s="247">
        <v>6.8</v>
      </c>
      <c r="BN768" s="247">
        <v>4.7</v>
      </c>
      <c r="BO768" s="247">
        <v>3.5</v>
      </c>
      <c r="BP768" s="248">
        <v>7.5</v>
      </c>
    </row>
    <row r="769" spans="1:68" ht="14.25" customHeight="1">
      <c r="A769" s="233">
        <v>112</v>
      </c>
      <c r="B769" s="234">
        <v>66</v>
      </c>
      <c r="C769" s="244" t="s">
        <v>928</v>
      </c>
      <c r="D769" s="244" t="s">
        <v>1316</v>
      </c>
      <c r="E769" s="244" t="s">
        <v>155</v>
      </c>
      <c r="F769" s="245">
        <v>-7.6</v>
      </c>
      <c r="G769" s="245">
        <v>-7</v>
      </c>
      <c r="H769" s="245">
        <v>-1</v>
      </c>
      <c r="I769" s="245">
        <v>10</v>
      </c>
      <c r="J769" s="245">
        <v>16.7</v>
      </c>
      <c r="K769" s="245">
        <v>21.3</v>
      </c>
      <c r="L769" s="245">
        <v>23.6</v>
      </c>
      <c r="M769" s="245">
        <v>22.1</v>
      </c>
      <c r="N769" s="245">
        <v>16</v>
      </c>
      <c r="O769" s="245">
        <v>8</v>
      </c>
      <c r="P769" s="245">
        <v>-0.6</v>
      </c>
      <c r="Q769" s="245">
        <v>-4.2</v>
      </c>
      <c r="R769" s="246">
        <v>8.1999999999999993</v>
      </c>
      <c r="S769" s="233">
        <v>66</v>
      </c>
      <c r="T769" s="247" t="s">
        <v>1317</v>
      </c>
      <c r="U769" s="245">
        <v>-33</v>
      </c>
      <c r="V769" s="245">
        <v>-30</v>
      </c>
      <c r="W769" s="245">
        <v>-28</v>
      </c>
      <c r="X769" s="245">
        <v>-25</v>
      </c>
      <c r="Y769" s="245">
        <v>-14</v>
      </c>
      <c r="Z769" s="245">
        <v>-35</v>
      </c>
      <c r="AA769" s="245">
        <v>5.6</v>
      </c>
      <c r="AB769" s="245">
        <v>117</v>
      </c>
      <c r="AC769" s="245">
        <v>-5.4</v>
      </c>
      <c r="AD769" s="245">
        <v>178</v>
      </c>
      <c r="AE769" s="245">
        <v>-2.2000000000000002</v>
      </c>
      <c r="AF769" s="245">
        <v>190</v>
      </c>
      <c r="AG769" s="245">
        <v>-1.5</v>
      </c>
      <c r="AH769" s="245">
        <v>85</v>
      </c>
      <c r="AI769" s="245">
        <v>83</v>
      </c>
      <c r="AJ769" s="245">
        <v>174</v>
      </c>
      <c r="AK769" s="245" t="s">
        <v>938</v>
      </c>
      <c r="AL769" s="245">
        <v>8.1</v>
      </c>
      <c r="AM769" s="246">
        <v>4.4000000000000004</v>
      </c>
      <c r="AN769" s="235">
        <v>66</v>
      </c>
      <c r="AO769" s="247" t="s">
        <v>1318</v>
      </c>
      <c r="AP769" s="247">
        <v>1000</v>
      </c>
      <c r="AQ769" s="247">
        <v>27.6</v>
      </c>
      <c r="AR769" s="247">
        <v>31.3</v>
      </c>
      <c r="AS769" s="247">
        <v>30</v>
      </c>
      <c r="AT769" s="247">
        <v>44</v>
      </c>
      <c r="AU769" s="247">
        <v>11.6</v>
      </c>
      <c r="AV769" s="247">
        <v>51</v>
      </c>
      <c r="AW769" s="247">
        <v>33</v>
      </c>
      <c r="AX769" s="247">
        <v>212</v>
      </c>
      <c r="AY769" s="247">
        <v>82</v>
      </c>
      <c r="AZ769" s="247" t="s">
        <v>959</v>
      </c>
      <c r="BA769" s="248">
        <v>5.2</v>
      </c>
      <c r="BB769" s="235">
        <v>52</v>
      </c>
      <c r="BC769" s="247" t="s">
        <v>155</v>
      </c>
      <c r="BD769" s="247">
        <v>3</v>
      </c>
      <c r="BE769" s="247">
        <v>3.3</v>
      </c>
      <c r="BF769" s="247">
        <v>4.8</v>
      </c>
      <c r="BG769" s="247">
        <v>7.1</v>
      </c>
      <c r="BH769" s="247">
        <v>9.9</v>
      </c>
      <c r="BI769" s="247">
        <v>12.8</v>
      </c>
      <c r="BJ769" s="247">
        <v>14</v>
      </c>
      <c r="BK769" s="247">
        <v>12.8</v>
      </c>
      <c r="BL769" s="247">
        <v>10.199999999999999</v>
      </c>
      <c r="BM769" s="247">
        <v>7.4</v>
      </c>
      <c r="BN769" s="247">
        <v>6</v>
      </c>
      <c r="BO769" s="247">
        <v>4.4000000000000004</v>
      </c>
      <c r="BP769" s="248">
        <v>8</v>
      </c>
    </row>
    <row r="770" spans="1:68" ht="14.25" customHeight="1">
      <c r="A770" s="233">
        <v>113</v>
      </c>
      <c r="B770" s="234">
        <v>73</v>
      </c>
      <c r="C770" s="244" t="s">
        <v>928</v>
      </c>
      <c r="D770" s="244" t="s">
        <v>1085</v>
      </c>
      <c r="E770" s="244" t="s">
        <v>156</v>
      </c>
      <c r="F770" s="245">
        <v>-12.6</v>
      </c>
      <c r="G770" s="245">
        <v>-11.6</v>
      </c>
      <c r="H770" s="245">
        <v>-5.9</v>
      </c>
      <c r="I770" s="245">
        <v>2.2999999999999998</v>
      </c>
      <c r="J770" s="245">
        <v>9.6</v>
      </c>
      <c r="K770" s="245">
        <v>14.9</v>
      </c>
      <c r="L770" s="245">
        <v>16.8</v>
      </c>
      <c r="M770" s="245">
        <v>15</v>
      </c>
      <c r="N770" s="245">
        <v>9.1</v>
      </c>
      <c r="O770" s="245">
        <v>2.5</v>
      </c>
      <c r="P770" s="245">
        <v>-3.5</v>
      </c>
      <c r="Q770" s="245">
        <v>-8.9</v>
      </c>
      <c r="R770" s="246">
        <v>2.2999999999999998</v>
      </c>
      <c r="S770" s="233">
        <v>73</v>
      </c>
      <c r="T770" s="247" t="s">
        <v>1319</v>
      </c>
      <c r="U770" s="245">
        <v>-42</v>
      </c>
      <c r="V770" s="245">
        <v>-37</v>
      </c>
      <c r="W770" s="245">
        <v>-38</v>
      </c>
      <c r="X770" s="245">
        <v>-32</v>
      </c>
      <c r="Y770" s="245">
        <v>-17</v>
      </c>
      <c r="Z770" s="245">
        <v>-47</v>
      </c>
      <c r="AA770" s="245">
        <v>7.2</v>
      </c>
      <c r="AB770" s="245">
        <v>160</v>
      </c>
      <c r="AC770" s="245">
        <v>-7.7</v>
      </c>
      <c r="AD770" s="245">
        <v>231</v>
      </c>
      <c r="AE770" s="245">
        <v>-4.0999999999999996</v>
      </c>
      <c r="AF770" s="245">
        <v>250</v>
      </c>
      <c r="AG770" s="245">
        <v>-3.1</v>
      </c>
      <c r="AH770" s="245">
        <v>85</v>
      </c>
      <c r="AI770" s="245">
        <v>82</v>
      </c>
      <c r="AJ770" s="245">
        <v>171</v>
      </c>
      <c r="AK770" s="245" t="s">
        <v>971</v>
      </c>
      <c r="AL770" s="245">
        <v>6</v>
      </c>
      <c r="AM770" s="246">
        <v>4.4000000000000004</v>
      </c>
      <c r="AN770" s="235">
        <v>73</v>
      </c>
      <c r="AO770" s="247" t="s">
        <v>1320</v>
      </c>
      <c r="AP770" s="247">
        <v>995</v>
      </c>
      <c r="AQ770" s="247">
        <v>21.2</v>
      </c>
      <c r="AR770" s="247">
        <v>25.3</v>
      </c>
      <c r="AS770" s="247">
        <v>22.3</v>
      </c>
      <c r="AT770" s="247">
        <v>39</v>
      </c>
      <c r="AU770" s="247">
        <v>11</v>
      </c>
      <c r="AV770" s="247">
        <v>76</v>
      </c>
      <c r="AW770" s="247">
        <v>60</v>
      </c>
      <c r="AX770" s="247">
        <v>417</v>
      </c>
      <c r="AY770" s="247">
        <v>74</v>
      </c>
      <c r="AZ770" s="247" t="s">
        <v>952</v>
      </c>
      <c r="BA770" s="248">
        <v>0</v>
      </c>
      <c r="BB770" s="235">
        <v>58</v>
      </c>
      <c r="BC770" s="247" t="s">
        <v>156</v>
      </c>
      <c r="BD770" s="247">
        <v>2.4</v>
      </c>
      <c r="BE770" s="247">
        <v>2.5</v>
      </c>
      <c r="BF770" s="247">
        <v>3.4</v>
      </c>
      <c r="BG770" s="247">
        <v>5.6</v>
      </c>
      <c r="BH770" s="247">
        <v>8.1999999999999993</v>
      </c>
      <c r="BI770" s="247">
        <v>12</v>
      </c>
      <c r="BJ770" s="247">
        <v>14.6</v>
      </c>
      <c r="BK770" s="247">
        <v>13.8</v>
      </c>
      <c r="BL770" s="247">
        <v>9.8000000000000007</v>
      </c>
      <c r="BM770" s="247">
        <v>6.6</v>
      </c>
      <c r="BN770" s="247">
        <v>4.5</v>
      </c>
      <c r="BO770" s="247">
        <v>3.2</v>
      </c>
      <c r="BP770" s="248">
        <v>7.2</v>
      </c>
    </row>
    <row r="771" spans="1:68" ht="14.25" customHeight="1">
      <c r="A771" s="233">
        <v>114</v>
      </c>
      <c r="B771" s="234">
        <v>177</v>
      </c>
      <c r="C771" s="244" t="s">
        <v>928</v>
      </c>
      <c r="D771" s="244" t="s">
        <v>935</v>
      </c>
      <c r="E771" s="244" t="s">
        <v>1321</v>
      </c>
      <c r="F771" s="245">
        <v>-31.2</v>
      </c>
      <c r="G771" s="245">
        <v>-29.7</v>
      </c>
      <c r="H771" s="245">
        <v>-25.7</v>
      </c>
      <c r="I771" s="245">
        <v>-15.8</v>
      </c>
      <c r="J771" s="245">
        <v>-6.1</v>
      </c>
      <c r="K771" s="245">
        <v>5.9</v>
      </c>
      <c r="L771" s="245">
        <v>13</v>
      </c>
      <c r="M771" s="245">
        <v>9.4</v>
      </c>
      <c r="N771" s="245">
        <v>2.4</v>
      </c>
      <c r="O771" s="245">
        <v>-1.6</v>
      </c>
      <c r="P771" s="245">
        <v>-25.2</v>
      </c>
      <c r="Q771" s="245">
        <v>-27.8</v>
      </c>
      <c r="R771" s="246">
        <v>-11.9</v>
      </c>
      <c r="S771" s="233">
        <v>177</v>
      </c>
      <c r="T771" s="247" t="s">
        <v>1322</v>
      </c>
      <c r="U771" s="245">
        <v>-56</v>
      </c>
      <c r="V771" s="245">
        <v>-53</v>
      </c>
      <c r="W771" s="245">
        <v>-53</v>
      </c>
      <c r="X771" s="245">
        <v>-50</v>
      </c>
      <c r="Y771" s="245">
        <v>-36</v>
      </c>
      <c r="Z771" s="245">
        <v>-59</v>
      </c>
      <c r="AA771" s="245">
        <v>9.5</v>
      </c>
      <c r="AB771" s="245">
        <v>253</v>
      </c>
      <c r="AC771" s="245">
        <v>-20.399999999999999</v>
      </c>
      <c r="AD771" s="245">
        <v>306</v>
      </c>
      <c r="AE771" s="245">
        <v>-16.100000000000001</v>
      </c>
      <c r="AF771" s="245">
        <v>326</v>
      </c>
      <c r="AG771" s="245">
        <v>-14.5</v>
      </c>
      <c r="AH771" s="245">
        <v>76</v>
      </c>
      <c r="AI771" s="245">
        <v>76</v>
      </c>
      <c r="AJ771" s="245">
        <v>97</v>
      </c>
      <c r="AK771" s="245" t="s">
        <v>950</v>
      </c>
      <c r="AL771" s="245">
        <v>6.1</v>
      </c>
      <c r="AM771" s="246">
        <v>3.8</v>
      </c>
      <c r="AN771" s="235">
        <v>177</v>
      </c>
      <c r="AO771" s="247" t="s">
        <v>1323</v>
      </c>
      <c r="AP771" s="247">
        <v>1005</v>
      </c>
      <c r="AQ771" s="247">
        <v>15.6</v>
      </c>
      <c r="AR771" s="247">
        <v>20.100000000000001</v>
      </c>
      <c r="AS771" s="247">
        <v>18</v>
      </c>
      <c r="AT771" s="247">
        <v>36</v>
      </c>
      <c r="AU771" s="247">
        <v>9.1999999999999993</v>
      </c>
      <c r="AV771" s="247">
        <v>70</v>
      </c>
      <c r="AW771" s="247">
        <v>61</v>
      </c>
      <c r="AX771" s="247">
        <v>256</v>
      </c>
      <c r="AY771" s="247" t="s">
        <v>965</v>
      </c>
      <c r="AZ771" s="247" t="s">
        <v>952</v>
      </c>
      <c r="BA771" s="248">
        <v>4.5</v>
      </c>
      <c r="BB771" s="235">
        <v>156</v>
      </c>
      <c r="BC771" s="247" t="s">
        <v>1321</v>
      </c>
      <c r="BD771" s="247">
        <v>0.6</v>
      </c>
      <c r="BE771" s="247">
        <v>0.6</v>
      </c>
      <c r="BF771" s="247">
        <v>0.9</v>
      </c>
      <c r="BG771" s="247">
        <v>1.7</v>
      </c>
      <c r="BH771" s="247">
        <v>3.2</v>
      </c>
      <c r="BI771" s="247">
        <v>7.1</v>
      </c>
      <c r="BJ771" s="247">
        <v>10.6</v>
      </c>
      <c r="BK771" s="247">
        <v>9.3000000000000007</v>
      </c>
      <c r="BL771" s="247">
        <v>6.3</v>
      </c>
      <c r="BM771" s="247">
        <v>2.6</v>
      </c>
      <c r="BN771" s="247">
        <v>1</v>
      </c>
      <c r="BO771" s="247">
        <v>0.8</v>
      </c>
      <c r="BP771" s="248">
        <v>3.7</v>
      </c>
    </row>
    <row r="772" spans="1:68" ht="14.25" customHeight="1">
      <c r="A772" s="233">
        <v>115</v>
      </c>
      <c r="B772" s="234">
        <v>151</v>
      </c>
      <c r="C772" s="244" t="s">
        <v>928</v>
      </c>
      <c r="D772" s="244" t="s">
        <v>1273</v>
      </c>
      <c r="E772" s="244" t="s">
        <v>1324</v>
      </c>
      <c r="F772" s="245">
        <v>-20.3</v>
      </c>
      <c r="G772" s="245">
        <v>-20.6</v>
      </c>
      <c r="H772" s="245">
        <v>-16.5</v>
      </c>
      <c r="I772" s="245">
        <v>-9</v>
      </c>
      <c r="J772" s="245">
        <v>-2.8</v>
      </c>
      <c r="K772" s="245">
        <v>5.8</v>
      </c>
      <c r="L772" s="245">
        <v>12.4</v>
      </c>
      <c r="M772" s="245">
        <v>9.5</v>
      </c>
      <c r="N772" s="245">
        <v>3.8</v>
      </c>
      <c r="O772" s="245">
        <v>-5.0999999999999996</v>
      </c>
      <c r="P772" s="245">
        <v>-13.6</v>
      </c>
      <c r="Q772" s="245">
        <v>-15.7</v>
      </c>
      <c r="R772" s="246">
        <v>-6</v>
      </c>
      <c r="S772" s="233">
        <v>151</v>
      </c>
      <c r="T772" s="247" t="s">
        <v>1325</v>
      </c>
      <c r="U772" s="245">
        <v>-46</v>
      </c>
      <c r="V772" s="245">
        <v>-45</v>
      </c>
      <c r="W772" s="245">
        <v>-43</v>
      </c>
      <c r="X772" s="245">
        <v>-41</v>
      </c>
      <c r="Y772" s="245">
        <v>-26</v>
      </c>
      <c r="Z772" s="245">
        <v>-52</v>
      </c>
      <c r="AA772" s="245">
        <v>8.6</v>
      </c>
      <c r="AB772" s="245">
        <v>239</v>
      </c>
      <c r="AC772" s="245">
        <v>-12.8</v>
      </c>
      <c r="AD772" s="245">
        <v>306</v>
      </c>
      <c r="AE772" s="245">
        <v>-9.1</v>
      </c>
      <c r="AF772" s="245">
        <v>328</v>
      </c>
      <c r="AG772" s="245">
        <v>-7.8</v>
      </c>
      <c r="AH772" s="245">
        <v>81</v>
      </c>
      <c r="AI772" s="245">
        <v>81</v>
      </c>
      <c r="AJ772" s="245">
        <v>178</v>
      </c>
      <c r="AK772" s="245" t="s">
        <v>963</v>
      </c>
      <c r="AL772" s="245">
        <v>10.1</v>
      </c>
      <c r="AM772" s="246">
        <v>5.8</v>
      </c>
      <c r="AN772" s="235">
        <v>151</v>
      </c>
      <c r="AO772" s="247" t="s">
        <v>1326</v>
      </c>
      <c r="AP772" s="247">
        <v>990</v>
      </c>
      <c r="AQ772" s="247">
        <v>15.6</v>
      </c>
      <c r="AR772" s="247">
        <v>20.3</v>
      </c>
      <c r="AS772" s="247">
        <v>18</v>
      </c>
      <c r="AT772" s="247">
        <v>31</v>
      </c>
      <c r="AU772" s="247">
        <v>10.5</v>
      </c>
      <c r="AV772" s="247">
        <v>72</v>
      </c>
      <c r="AW772" s="247">
        <v>63</v>
      </c>
      <c r="AX772" s="247">
        <v>370</v>
      </c>
      <c r="AY772" s="247">
        <v>37</v>
      </c>
      <c r="AZ772" s="247" t="s">
        <v>1005</v>
      </c>
      <c r="BA772" s="248">
        <v>4.8</v>
      </c>
      <c r="BB772" s="235">
        <v>131</v>
      </c>
      <c r="BC772" s="247" t="s">
        <v>1324</v>
      </c>
      <c r="BD772" s="247">
        <v>1.3</v>
      </c>
      <c r="BE772" s="247">
        <v>1.2</v>
      </c>
      <c r="BF772" s="247">
        <v>1.8</v>
      </c>
      <c r="BG772" s="247">
        <v>2.9</v>
      </c>
      <c r="BH772" s="247">
        <v>4.3</v>
      </c>
      <c r="BI772" s="247">
        <v>7</v>
      </c>
      <c r="BJ772" s="247">
        <v>10.4</v>
      </c>
      <c r="BK772" s="247">
        <v>9.6</v>
      </c>
      <c r="BL772" s="247">
        <v>7</v>
      </c>
      <c r="BM772" s="247">
        <v>4</v>
      </c>
      <c r="BN772" s="247">
        <v>2.2999999999999998</v>
      </c>
      <c r="BO772" s="247">
        <v>1.8</v>
      </c>
      <c r="BP772" s="248">
        <v>4.5</v>
      </c>
    </row>
    <row r="773" spans="1:68" ht="14.25" customHeight="1">
      <c r="A773" s="233">
        <v>116</v>
      </c>
      <c r="B773" s="234">
        <v>77</v>
      </c>
      <c r="C773" s="244" t="s">
        <v>928</v>
      </c>
      <c r="D773" s="244" t="s">
        <v>1327</v>
      </c>
      <c r="E773" s="244" t="s">
        <v>157</v>
      </c>
      <c r="F773" s="245">
        <v>-9.8000000000000007</v>
      </c>
      <c r="G773" s="245">
        <v>-9.6</v>
      </c>
      <c r="H773" s="245">
        <v>-3.7</v>
      </c>
      <c r="I773" s="245">
        <v>6.6</v>
      </c>
      <c r="J773" s="245">
        <v>14.6</v>
      </c>
      <c r="K773" s="245">
        <v>17.899999999999999</v>
      </c>
      <c r="L773" s="245">
        <v>19.899999999999999</v>
      </c>
      <c r="M773" s="245">
        <v>18.600000000000001</v>
      </c>
      <c r="N773" s="245">
        <v>13</v>
      </c>
      <c r="O773" s="245">
        <v>5.9</v>
      </c>
      <c r="P773" s="245">
        <v>-0.6</v>
      </c>
      <c r="Q773" s="245">
        <v>-6.2</v>
      </c>
      <c r="R773" s="246">
        <v>5.6</v>
      </c>
      <c r="S773" s="233">
        <v>77</v>
      </c>
      <c r="T773" s="247" t="s">
        <v>1328</v>
      </c>
      <c r="U773" s="245">
        <v>-32</v>
      </c>
      <c r="V773" s="245">
        <v>-31</v>
      </c>
      <c r="W773" s="245">
        <v>-28</v>
      </c>
      <c r="X773" s="245">
        <v>-26</v>
      </c>
      <c r="Y773" s="245">
        <v>-15</v>
      </c>
      <c r="Z773" s="245">
        <v>-37</v>
      </c>
      <c r="AA773" s="245">
        <v>6.7</v>
      </c>
      <c r="AB773" s="245">
        <v>134</v>
      </c>
      <c r="AC773" s="245">
        <v>-6.3</v>
      </c>
      <c r="AD773" s="245">
        <v>196</v>
      </c>
      <c r="AE773" s="245">
        <v>-3.1</v>
      </c>
      <c r="AF773" s="245">
        <v>212</v>
      </c>
      <c r="AG773" s="245">
        <v>-2.2000000000000002</v>
      </c>
      <c r="AH773" s="245">
        <v>83</v>
      </c>
      <c r="AI773" s="245">
        <v>76</v>
      </c>
      <c r="AJ773" s="245">
        <v>172</v>
      </c>
      <c r="AK773" s="245" t="s">
        <v>950</v>
      </c>
      <c r="AL773" s="245">
        <v>5.0999999999999996</v>
      </c>
      <c r="AM773" s="246">
        <v>4.2</v>
      </c>
      <c r="AN773" s="235">
        <v>77</v>
      </c>
      <c r="AO773" s="247" t="s">
        <v>1329</v>
      </c>
      <c r="AP773" s="247">
        <v>1000</v>
      </c>
      <c r="AQ773" s="247">
        <v>24.1</v>
      </c>
      <c r="AR773" s="247">
        <v>28.6</v>
      </c>
      <c r="AS773" s="247">
        <v>25.9</v>
      </c>
      <c r="AT773" s="247">
        <v>38</v>
      </c>
      <c r="AU773" s="247">
        <v>11.5</v>
      </c>
      <c r="AV773" s="247">
        <v>66</v>
      </c>
      <c r="AW773" s="247">
        <v>50</v>
      </c>
      <c r="AX773" s="247">
        <v>367</v>
      </c>
      <c r="AY773" s="247">
        <v>100</v>
      </c>
      <c r="AZ773" s="247" t="s">
        <v>1005</v>
      </c>
      <c r="BA773" s="248">
        <v>3.3</v>
      </c>
      <c r="BB773" s="235">
        <v>62</v>
      </c>
      <c r="BC773" s="247" t="s">
        <v>157</v>
      </c>
      <c r="BD773" s="247">
        <v>2.9</v>
      </c>
      <c r="BE773" s="247">
        <v>3.1</v>
      </c>
      <c r="BF773" s="247">
        <v>4.3</v>
      </c>
      <c r="BG773" s="247">
        <v>7</v>
      </c>
      <c r="BH773" s="247">
        <v>9.4</v>
      </c>
      <c r="BI773" s="247">
        <v>12.7</v>
      </c>
      <c r="BJ773" s="247">
        <v>15</v>
      </c>
      <c r="BK773" s="247">
        <v>13.8</v>
      </c>
      <c r="BL773" s="247">
        <v>10.3</v>
      </c>
      <c r="BM773" s="247">
        <v>7.3</v>
      </c>
      <c r="BN773" s="247">
        <v>5.4</v>
      </c>
      <c r="BO773" s="247">
        <v>4</v>
      </c>
      <c r="BP773" s="248">
        <v>7.9</v>
      </c>
    </row>
    <row r="774" spans="1:68" ht="14.25" customHeight="1">
      <c r="A774" s="233">
        <v>117</v>
      </c>
      <c r="B774" s="234">
        <v>409</v>
      </c>
      <c r="C774" s="244" t="s">
        <v>928</v>
      </c>
      <c r="D774" s="244" t="s">
        <v>969</v>
      </c>
      <c r="E774" s="244" t="s">
        <v>1330</v>
      </c>
      <c r="F774" s="245">
        <v>-37.9</v>
      </c>
      <c r="G774" s="245">
        <v>-36.200000000000003</v>
      </c>
      <c r="H774" s="245">
        <v>-28.8</v>
      </c>
      <c r="I774" s="245">
        <v>-16.8</v>
      </c>
      <c r="J774" s="245">
        <v>-2.6</v>
      </c>
      <c r="K774" s="245">
        <v>9.3000000000000007</v>
      </c>
      <c r="L774" s="245">
        <v>11.9</v>
      </c>
      <c r="M774" s="245">
        <v>8.6999999999999993</v>
      </c>
      <c r="N774" s="245">
        <v>1.5</v>
      </c>
      <c r="O774" s="245">
        <v>-13.2</v>
      </c>
      <c r="P774" s="245">
        <v>-29.7</v>
      </c>
      <c r="Q774" s="245">
        <v>-35.9</v>
      </c>
      <c r="R774" s="246">
        <v>-14.2</v>
      </c>
      <c r="S774" s="233">
        <v>409</v>
      </c>
      <c r="T774" s="247" t="s">
        <v>1330</v>
      </c>
      <c r="U774" s="245">
        <v>-55</v>
      </c>
      <c r="V774" s="245">
        <v>-53</v>
      </c>
      <c r="W774" s="245">
        <v>-52</v>
      </c>
      <c r="X774" s="245">
        <v>-51</v>
      </c>
      <c r="Y774" s="245">
        <v>-43</v>
      </c>
      <c r="Z774" s="245">
        <v>-57</v>
      </c>
      <c r="AA774" s="245">
        <v>8.6999999999999993</v>
      </c>
      <c r="AB774" s="245">
        <v>246</v>
      </c>
      <c r="AC774" s="245">
        <v>-24.5</v>
      </c>
      <c r="AD774" s="245">
        <v>297</v>
      </c>
      <c r="AE774" s="245">
        <v>-19.600000000000001</v>
      </c>
      <c r="AF774" s="245">
        <v>324</v>
      </c>
      <c r="AG774" s="245">
        <v>-17.2</v>
      </c>
      <c r="AH774" s="245">
        <v>76</v>
      </c>
      <c r="AI774" s="245">
        <v>76</v>
      </c>
      <c r="AJ774" s="245">
        <v>64</v>
      </c>
      <c r="AK774" s="245" t="s">
        <v>944</v>
      </c>
      <c r="AL774" s="245" t="s">
        <v>931</v>
      </c>
      <c r="AM774" s="246">
        <v>1.6</v>
      </c>
      <c r="AN774" s="235">
        <v>409</v>
      </c>
      <c r="AO774" s="247" t="s">
        <v>1331</v>
      </c>
      <c r="AP774" s="247">
        <v>1010</v>
      </c>
      <c r="AQ774" s="247">
        <v>14.9</v>
      </c>
      <c r="AR774" s="247">
        <v>19.399999999999999</v>
      </c>
      <c r="AS774" s="247">
        <v>17.3</v>
      </c>
      <c r="AT774" s="247">
        <v>34</v>
      </c>
      <c r="AU774" s="247">
        <v>9.8000000000000007</v>
      </c>
      <c r="AV774" s="247">
        <v>70</v>
      </c>
      <c r="AW774" s="247">
        <v>60</v>
      </c>
      <c r="AX774" s="247">
        <v>196</v>
      </c>
      <c r="AY774" s="247">
        <v>41</v>
      </c>
      <c r="AZ774" s="247" t="s">
        <v>959</v>
      </c>
      <c r="BA774" s="248" t="s">
        <v>934</v>
      </c>
      <c r="BB774" s="235">
        <v>373</v>
      </c>
      <c r="BC774" s="247" t="s">
        <v>1330</v>
      </c>
      <c r="BD774" s="247">
        <v>0.2</v>
      </c>
      <c r="BE774" s="247">
        <v>0.3</v>
      </c>
      <c r="BF774" s="247">
        <v>0.5</v>
      </c>
      <c r="BG774" s="247">
        <v>1.3</v>
      </c>
      <c r="BH774" s="247">
        <v>3.7</v>
      </c>
      <c r="BI774" s="247">
        <v>7.6</v>
      </c>
      <c r="BJ774" s="247">
        <v>9.6999999999999993</v>
      </c>
      <c r="BK774" s="247">
        <v>8.6999999999999993</v>
      </c>
      <c r="BL774" s="247">
        <v>5.5</v>
      </c>
      <c r="BM774" s="247">
        <v>2.2000000000000002</v>
      </c>
      <c r="BN774" s="247">
        <v>0.6</v>
      </c>
      <c r="BO774" s="247">
        <v>0.3</v>
      </c>
      <c r="BP774" s="248">
        <v>3.4</v>
      </c>
    </row>
    <row r="775" spans="1:68" ht="14.25" customHeight="1">
      <c r="A775" s="233">
        <v>118</v>
      </c>
      <c r="B775" s="234">
        <v>228</v>
      </c>
      <c r="C775" s="244" t="s">
        <v>928</v>
      </c>
      <c r="D775" s="244" t="s">
        <v>1030</v>
      </c>
      <c r="E775" s="244" t="s">
        <v>1332</v>
      </c>
      <c r="F775" s="245">
        <v>-11.3</v>
      </c>
      <c r="G775" s="245">
        <v>-10.8</v>
      </c>
      <c r="H775" s="245">
        <v>-5.0999999999999996</v>
      </c>
      <c r="I775" s="245">
        <v>4.4000000000000004</v>
      </c>
      <c r="J775" s="245">
        <v>12.5</v>
      </c>
      <c r="K775" s="245">
        <v>16.8</v>
      </c>
      <c r="L775" s="245">
        <v>18.899999999999999</v>
      </c>
      <c r="M775" s="245">
        <v>17</v>
      </c>
      <c r="N775" s="245">
        <v>11.1</v>
      </c>
      <c r="O775" s="245">
        <v>4</v>
      </c>
      <c r="P775" s="245">
        <v>-2.8</v>
      </c>
      <c r="Q775" s="245">
        <v>-8.5</v>
      </c>
      <c r="R775" s="246">
        <v>3.8</v>
      </c>
      <c r="S775" s="233">
        <v>228</v>
      </c>
      <c r="T775" s="247" t="s">
        <v>1333</v>
      </c>
      <c r="U775" s="245">
        <v>-38</v>
      </c>
      <c r="V775" s="245">
        <v>-34</v>
      </c>
      <c r="W775" s="245">
        <v>-33</v>
      </c>
      <c r="X775" s="245">
        <v>-30</v>
      </c>
      <c r="Y775" s="245">
        <v>-16</v>
      </c>
      <c r="Z775" s="245">
        <v>-45</v>
      </c>
      <c r="AA775" s="245">
        <v>6.9</v>
      </c>
      <c r="AB775" s="245">
        <v>149</v>
      </c>
      <c r="AC775" s="245">
        <v>-7.3</v>
      </c>
      <c r="AD775" s="245">
        <v>212</v>
      </c>
      <c r="AE775" s="245">
        <v>-4</v>
      </c>
      <c r="AF775" s="245">
        <v>228</v>
      </c>
      <c r="AG775" s="245">
        <v>-3.1</v>
      </c>
      <c r="AH775" s="245">
        <v>85</v>
      </c>
      <c r="AI775" s="245">
        <v>82</v>
      </c>
      <c r="AJ775" s="245">
        <v>232</v>
      </c>
      <c r="AK775" s="245" t="s">
        <v>971</v>
      </c>
      <c r="AL775" s="245" t="s">
        <v>931</v>
      </c>
      <c r="AM775" s="246">
        <v>3.4</v>
      </c>
      <c r="AN775" s="235">
        <v>228</v>
      </c>
      <c r="AO775" s="247" t="s">
        <v>1334</v>
      </c>
      <c r="AP775" s="247">
        <v>1000</v>
      </c>
      <c r="AQ775" s="247">
        <v>22.3</v>
      </c>
      <c r="AR775" s="247">
        <v>26.5</v>
      </c>
      <c r="AS775" s="247">
        <v>24.7</v>
      </c>
      <c r="AT775" s="247">
        <v>39</v>
      </c>
      <c r="AU775" s="247">
        <v>11.3</v>
      </c>
      <c r="AV775" s="247">
        <v>72</v>
      </c>
      <c r="AW775" s="247">
        <v>56</v>
      </c>
      <c r="AX775" s="247">
        <v>416</v>
      </c>
      <c r="AY775" s="247" t="s">
        <v>965</v>
      </c>
      <c r="AZ775" s="247" t="s">
        <v>978</v>
      </c>
      <c r="BA775" s="248" t="s">
        <v>934</v>
      </c>
      <c r="BB775" s="235"/>
      <c r="BC775" s="247" t="s">
        <v>1332</v>
      </c>
      <c r="BD775" s="247"/>
      <c r="BE775" s="247"/>
      <c r="BF775" s="247"/>
      <c r="BG775" s="247"/>
      <c r="BH775" s="247"/>
      <c r="BI775" s="247"/>
      <c r="BJ775" s="247"/>
      <c r="BK775" s="247"/>
      <c r="BL775" s="247"/>
      <c r="BM775" s="247"/>
      <c r="BN775" s="247"/>
      <c r="BO775" s="247"/>
      <c r="BP775" s="248"/>
    </row>
    <row r="776" spans="1:68" ht="14.25" customHeight="1">
      <c r="A776" s="233">
        <v>119</v>
      </c>
      <c r="B776" s="234">
        <v>74</v>
      </c>
      <c r="C776" s="244" t="s">
        <v>928</v>
      </c>
      <c r="D776" s="244" t="s">
        <v>1085</v>
      </c>
      <c r="E776" s="244" t="s">
        <v>1335</v>
      </c>
      <c r="F776" s="245">
        <v>-10.9</v>
      </c>
      <c r="G776" s="245">
        <v>-10.4</v>
      </c>
      <c r="H776" s="245">
        <v>-5.9</v>
      </c>
      <c r="I776" s="245">
        <v>1.8</v>
      </c>
      <c r="J776" s="245">
        <v>8.4</v>
      </c>
      <c r="K776" s="245">
        <v>13.8</v>
      </c>
      <c r="L776" s="245">
        <v>16.7</v>
      </c>
      <c r="M776" s="245">
        <v>14.7</v>
      </c>
      <c r="N776" s="245">
        <v>9.1999999999999993</v>
      </c>
      <c r="O776" s="245">
        <v>3</v>
      </c>
      <c r="P776" s="245">
        <v>-2.8</v>
      </c>
      <c r="Q776" s="245">
        <v>-8</v>
      </c>
      <c r="R776" s="246">
        <v>2.5</v>
      </c>
      <c r="S776" s="233">
        <v>74</v>
      </c>
      <c r="T776" s="247" t="s">
        <v>1336</v>
      </c>
      <c r="U776" s="245">
        <v>-40</v>
      </c>
      <c r="V776" s="245">
        <v>-36</v>
      </c>
      <c r="W776" s="245">
        <v>-35</v>
      </c>
      <c r="X776" s="245">
        <v>-32</v>
      </c>
      <c r="Y776" s="245">
        <v>-16</v>
      </c>
      <c r="Z776" s="245">
        <v>-49</v>
      </c>
      <c r="AA776" s="245">
        <v>7.1</v>
      </c>
      <c r="AB776" s="245">
        <v>159</v>
      </c>
      <c r="AC776" s="245">
        <v>-6.9</v>
      </c>
      <c r="AD776" s="245">
        <v>235</v>
      </c>
      <c r="AE776" s="245">
        <v>-3.4</v>
      </c>
      <c r="AF776" s="245">
        <v>256</v>
      </c>
      <c r="AG776" s="245">
        <v>-2.4</v>
      </c>
      <c r="AH776" s="245">
        <v>84</v>
      </c>
      <c r="AI776" s="245">
        <v>83</v>
      </c>
      <c r="AJ776" s="245">
        <v>201</v>
      </c>
      <c r="AK776" s="245" t="s">
        <v>990</v>
      </c>
      <c r="AL776" s="245">
        <v>5.3</v>
      </c>
      <c r="AM776" s="246">
        <v>3.6</v>
      </c>
      <c r="AN776" s="235">
        <v>74</v>
      </c>
      <c r="AO776" s="247" t="s">
        <v>1337</v>
      </c>
      <c r="AP776" s="247">
        <v>1005</v>
      </c>
      <c r="AQ776" s="247">
        <v>20</v>
      </c>
      <c r="AR776" s="247">
        <v>24.7</v>
      </c>
      <c r="AS776" s="247">
        <v>21.9</v>
      </c>
      <c r="AT776" s="247">
        <v>36</v>
      </c>
      <c r="AU776" s="247">
        <v>10.8</v>
      </c>
      <c r="AV776" s="247">
        <v>74</v>
      </c>
      <c r="AW776" s="247">
        <v>59</v>
      </c>
      <c r="AX776" s="247">
        <v>454</v>
      </c>
      <c r="AY776" s="247">
        <v>72</v>
      </c>
      <c r="AZ776" s="247" t="s">
        <v>959</v>
      </c>
      <c r="BA776" s="248">
        <v>0</v>
      </c>
      <c r="BB776" s="235">
        <v>59</v>
      </c>
      <c r="BC776" s="247" t="s">
        <v>1335</v>
      </c>
      <c r="BD776" s="247">
        <v>2.5</v>
      </c>
      <c r="BE776" s="247">
        <v>2.7</v>
      </c>
      <c r="BF776" s="247">
        <v>3.6</v>
      </c>
      <c r="BG776" s="247">
        <v>5.3</v>
      </c>
      <c r="BH776" s="247">
        <v>7.6</v>
      </c>
      <c r="BI776" s="247">
        <v>11.2</v>
      </c>
      <c r="BJ776" s="247">
        <v>14</v>
      </c>
      <c r="BK776" s="247">
        <v>13.3</v>
      </c>
      <c r="BL776" s="247">
        <v>10</v>
      </c>
      <c r="BM776" s="247">
        <v>6.7</v>
      </c>
      <c r="BN776" s="247">
        <v>4.9000000000000004</v>
      </c>
      <c r="BO776" s="247">
        <v>3.4</v>
      </c>
      <c r="BP776" s="248">
        <v>7.1</v>
      </c>
    </row>
    <row r="777" spans="1:68" ht="14.25" customHeight="1">
      <c r="A777" s="233">
        <v>120</v>
      </c>
      <c r="B777" s="234">
        <v>350</v>
      </c>
      <c r="C777" s="244" t="s">
        <v>928</v>
      </c>
      <c r="D777" s="244" t="s">
        <v>1081</v>
      </c>
      <c r="E777" s="244" t="s">
        <v>1338</v>
      </c>
      <c r="F777" s="245">
        <v>-22.3</v>
      </c>
      <c r="G777" s="245">
        <v>-17.8</v>
      </c>
      <c r="H777" s="245">
        <v>-9</v>
      </c>
      <c r="I777" s="245">
        <v>3.4</v>
      </c>
      <c r="J777" s="245">
        <v>11.3</v>
      </c>
      <c r="K777" s="245">
        <v>17.100000000000001</v>
      </c>
      <c r="L777" s="245">
        <v>20.6</v>
      </c>
      <c r="M777" s="245">
        <v>19.600000000000001</v>
      </c>
      <c r="N777" s="245">
        <v>13</v>
      </c>
      <c r="O777" s="245">
        <v>3.9</v>
      </c>
      <c r="P777" s="245">
        <v>-8.1999999999999993</v>
      </c>
      <c r="Q777" s="245">
        <v>-18.100000000000001</v>
      </c>
      <c r="R777" s="246">
        <v>1.1000000000000001</v>
      </c>
      <c r="S777" s="233">
        <v>350</v>
      </c>
      <c r="T777" s="247" t="s">
        <v>1339</v>
      </c>
      <c r="U777" s="245">
        <v>-38</v>
      </c>
      <c r="V777" s="245">
        <v>-34</v>
      </c>
      <c r="W777" s="245">
        <v>-34</v>
      </c>
      <c r="X777" s="245">
        <v>-31</v>
      </c>
      <c r="Y777" s="245">
        <v>-27</v>
      </c>
      <c r="Z777" s="245">
        <v>-48</v>
      </c>
      <c r="AA777" s="245">
        <v>11.9</v>
      </c>
      <c r="AB777" s="245">
        <v>163</v>
      </c>
      <c r="AC777" s="245">
        <v>-13.5</v>
      </c>
      <c r="AD777" s="245">
        <v>213</v>
      </c>
      <c r="AE777" s="245">
        <v>-9.3000000000000007</v>
      </c>
      <c r="AF777" s="245">
        <v>227</v>
      </c>
      <c r="AG777" s="245">
        <v>-8.1</v>
      </c>
      <c r="AH777" s="245">
        <v>74</v>
      </c>
      <c r="AI777" s="245">
        <v>66</v>
      </c>
      <c r="AJ777" s="245">
        <v>114</v>
      </c>
      <c r="AK777" s="245" t="s">
        <v>971</v>
      </c>
      <c r="AL777" s="245">
        <v>4.0999999999999996</v>
      </c>
      <c r="AM777" s="246" t="s">
        <v>931</v>
      </c>
      <c r="AN777" s="235">
        <v>350</v>
      </c>
      <c r="AO777" s="247" t="s">
        <v>1340</v>
      </c>
      <c r="AP777" s="247">
        <v>1000</v>
      </c>
      <c r="AQ777" s="247">
        <v>24</v>
      </c>
      <c r="AR777" s="247">
        <v>28.1</v>
      </c>
      <c r="AS777" s="247">
        <v>26.4</v>
      </c>
      <c r="AT777" s="247">
        <v>40</v>
      </c>
      <c r="AU777" s="247">
        <v>11.7</v>
      </c>
      <c r="AV777" s="247">
        <v>82</v>
      </c>
      <c r="AW777" s="247">
        <v>67</v>
      </c>
      <c r="AX777" s="247">
        <v>602</v>
      </c>
      <c r="AY777" s="247">
        <v>95</v>
      </c>
      <c r="AZ777" s="247" t="s">
        <v>978</v>
      </c>
      <c r="BA777" s="248">
        <v>0</v>
      </c>
      <c r="BB777" s="235">
        <v>315</v>
      </c>
      <c r="BC777" s="247" t="s">
        <v>1338</v>
      </c>
      <c r="BD777" s="247">
        <v>0.9</v>
      </c>
      <c r="BE777" s="247">
        <v>1.2</v>
      </c>
      <c r="BF777" s="247">
        <v>2.5</v>
      </c>
      <c r="BG777" s="247">
        <v>5</v>
      </c>
      <c r="BH777" s="247">
        <v>8.4</v>
      </c>
      <c r="BI777" s="247">
        <v>14.7</v>
      </c>
      <c r="BJ777" s="247">
        <v>20.2</v>
      </c>
      <c r="BK777" s="247">
        <v>19.5</v>
      </c>
      <c r="BL777" s="247">
        <v>12.2</v>
      </c>
      <c r="BM777" s="247">
        <v>5.8</v>
      </c>
      <c r="BN777" s="247">
        <v>2.5</v>
      </c>
      <c r="BO777" s="247">
        <v>1.2</v>
      </c>
      <c r="BP777" s="248">
        <v>7.8</v>
      </c>
    </row>
    <row r="778" spans="1:68" ht="14.25" customHeight="1">
      <c r="A778" s="233">
        <v>121</v>
      </c>
      <c r="B778" s="234">
        <v>303</v>
      </c>
      <c r="C778" s="244" t="s">
        <v>928</v>
      </c>
      <c r="D778" s="244" t="s">
        <v>1341</v>
      </c>
      <c r="E778" s="244" t="s">
        <v>1342</v>
      </c>
      <c r="F778" s="245">
        <v>-9.8000000000000007</v>
      </c>
      <c r="G778" s="245">
        <v>-9</v>
      </c>
      <c r="H778" s="245">
        <v>-4.3</v>
      </c>
      <c r="I778" s="245">
        <v>4.3</v>
      </c>
      <c r="J778" s="245">
        <v>11.3</v>
      </c>
      <c r="K778" s="245">
        <v>15.4</v>
      </c>
      <c r="L778" s="245">
        <v>16.600000000000001</v>
      </c>
      <c r="M778" s="245">
        <v>15.4</v>
      </c>
      <c r="N778" s="245">
        <v>10.199999999999999</v>
      </c>
      <c r="O778" s="245">
        <v>4.0999999999999996</v>
      </c>
      <c r="P778" s="245">
        <v>-1.9</v>
      </c>
      <c r="Q778" s="245">
        <v>-6.4</v>
      </c>
      <c r="R778" s="246">
        <v>3.8</v>
      </c>
      <c r="S778" s="233">
        <v>303</v>
      </c>
      <c r="T778" s="247" t="s">
        <v>1343</v>
      </c>
      <c r="U778" s="245">
        <v>-35</v>
      </c>
      <c r="V778" s="245">
        <v>-32</v>
      </c>
      <c r="W778" s="245">
        <v>-29</v>
      </c>
      <c r="X778" s="245">
        <v>-27</v>
      </c>
      <c r="Y778" s="245">
        <v>-15</v>
      </c>
      <c r="Z778" s="245">
        <v>-43</v>
      </c>
      <c r="AA778" s="245">
        <v>6.3</v>
      </c>
      <c r="AB778" s="245">
        <v>145</v>
      </c>
      <c r="AC778" s="245">
        <v>-6.1</v>
      </c>
      <c r="AD778" s="245">
        <v>217</v>
      </c>
      <c r="AE778" s="245">
        <v>-2.8</v>
      </c>
      <c r="AF778" s="245">
        <v>236</v>
      </c>
      <c r="AG778" s="245">
        <v>-1.8</v>
      </c>
      <c r="AH778" s="245">
        <v>87</v>
      </c>
      <c r="AI778" s="245">
        <v>86</v>
      </c>
      <c r="AJ778" s="245">
        <v>284</v>
      </c>
      <c r="AK778" s="245" t="s">
        <v>990</v>
      </c>
      <c r="AL778" s="245" t="s">
        <v>931</v>
      </c>
      <c r="AM778" s="246">
        <v>4.4000000000000004</v>
      </c>
      <c r="AN778" s="235">
        <v>303</v>
      </c>
      <c r="AO778" s="247" t="s">
        <v>1344</v>
      </c>
      <c r="AP778" s="247">
        <v>985</v>
      </c>
      <c r="AQ778" s="247">
        <v>19.399999999999999</v>
      </c>
      <c r="AR778" s="247">
        <v>23.7</v>
      </c>
      <c r="AS778" s="247">
        <v>21.8</v>
      </c>
      <c r="AT778" s="247">
        <v>36</v>
      </c>
      <c r="AU778" s="247">
        <v>10.1</v>
      </c>
      <c r="AV778" s="247">
        <v>76</v>
      </c>
      <c r="AW778" s="247">
        <v>60</v>
      </c>
      <c r="AX778" s="247">
        <v>454</v>
      </c>
      <c r="AY778" s="247">
        <v>69</v>
      </c>
      <c r="AZ778" s="247" t="s">
        <v>952</v>
      </c>
      <c r="BA778" s="248" t="s">
        <v>934</v>
      </c>
      <c r="BB778" s="235"/>
      <c r="BC778" s="247" t="s">
        <v>1342</v>
      </c>
      <c r="BD778" s="247"/>
      <c r="BE778" s="247"/>
      <c r="BF778" s="247"/>
      <c r="BG778" s="247"/>
      <c r="BH778" s="247"/>
      <c r="BI778" s="247"/>
      <c r="BJ778" s="247"/>
      <c r="BK778" s="247"/>
      <c r="BL778" s="247"/>
      <c r="BM778" s="247"/>
      <c r="BN778" s="247"/>
      <c r="BO778" s="247"/>
      <c r="BP778" s="248"/>
    </row>
    <row r="779" spans="1:68" ht="14.25" customHeight="1">
      <c r="A779" s="233">
        <v>122</v>
      </c>
      <c r="B779" s="234">
        <v>621</v>
      </c>
      <c r="C779" s="244" t="s">
        <v>953</v>
      </c>
      <c r="D779" s="244" t="s">
        <v>1345</v>
      </c>
      <c r="E779" s="244" t="s">
        <v>1346</v>
      </c>
      <c r="F779" s="245">
        <v>-5.0999999999999996</v>
      </c>
      <c r="G779" s="245">
        <v>-3.6</v>
      </c>
      <c r="H779" s="245">
        <v>1.2</v>
      </c>
      <c r="I779" s="245">
        <v>9.1</v>
      </c>
      <c r="J779" s="245">
        <v>15.2</v>
      </c>
      <c r="K779" s="245">
        <v>18.2</v>
      </c>
      <c r="L779" s="245">
        <v>19.5</v>
      </c>
      <c r="M779" s="245">
        <v>18.899999999999999</v>
      </c>
      <c r="N779" s="245">
        <v>14.4</v>
      </c>
      <c r="O779" s="245">
        <v>8.3000000000000007</v>
      </c>
      <c r="P779" s="245">
        <v>2.8</v>
      </c>
      <c r="Q779" s="245">
        <v>-1.6</v>
      </c>
      <c r="R779" s="246">
        <v>8.1</v>
      </c>
      <c r="S779" s="233">
        <v>610</v>
      </c>
      <c r="T779" s="247" t="s">
        <v>1346</v>
      </c>
      <c r="U779" s="245">
        <v>-29</v>
      </c>
      <c r="V779" s="245">
        <v>-26</v>
      </c>
      <c r="W779" s="245">
        <v>-25</v>
      </c>
      <c r="X779" s="245">
        <v>-22</v>
      </c>
      <c r="Y779" s="245">
        <v>-9</v>
      </c>
      <c r="Z779" s="245">
        <v>-35</v>
      </c>
      <c r="AA779" s="245" t="s">
        <v>956</v>
      </c>
      <c r="AB779" s="245">
        <v>95</v>
      </c>
      <c r="AC779" s="245">
        <v>-3.4</v>
      </c>
      <c r="AD779" s="245">
        <v>173</v>
      </c>
      <c r="AE779" s="245">
        <v>-0.2</v>
      </c>
      <c r="AF779" s="245">
        <v>190</v>
      </c>
      <c r="AG779" s="245">
        <v>0.6</v>
      </c>
      <c r="AH779" s="245" t="s">
        <v>956</v>
      </c>
      <c r="AI779" s="245" t="s">
        <v>956</v>
      </c>
      <c r="AJ779" s="245">
        <v>220</v>
      </c>
      <c r="AK779" s="245" t="s">
        <v>990</v>
      </c>
      <c r="AL779" s="245" t="s">
        <v>931</v>
      </c>
      <c r="AM779" s="246" t="s">
        <v>931</v>
      </c>
      <c r="AN779" s="235">
        <v>611</v>
      </c>
      <c r="AO779" s="247" t="s">
        <v>1347</v>
      </c>
      <c r="AP779" s="247" t="s">
        <v>965</v>
      </c>
      <c r="AQ779" s="247">
        <v>27</v>
      </c>
      <c r="AR779" s="247">
        <v>24</v>
      </c>
      <c r="AS779" s="247">
        <v>25.4</v>
      </c>
      <c r="AT779" s="247">
        <v>39</v>
      </c>
      <c r="AU779" s="247" t="s">
        <v>934</v>
      </c>
      <c r="AV779" s="247" t="s">
        <v>958</v>
      </c>
      <c r="AW779" s="247" t="s">
        <v>931</v>
      </c>
      <c r="AX779" s="247" t="s">
        <v>931</v>
      </c>
      <c r="AY779" s="247">
        <v>95</v>
      </c>
      <c r="AZ779" s="247" t="s">
        <v>959</v>
      </c>
      <c r="BA779" s="248">
        <v>1.2</v>
      </c>
      <c r="BB779" s="235"/>
      <c r="BC779" s="247" t="s">
        <v>1346</v>
      </c>
      <c r="BD779" s="247"/>
      <c r="BE779" s="247"/>
      <c r="BF779" s="247"/>
      <c r="BG779" s="247"/>
      <c r="BH779" s="247"/>
      <c r="BI779" s="247"/>
      <c r="BJ779" s="247"/>
      <c r="BK779" s="247"/>
      <c r="BL779" s="247"/>
      <c r="BM779" s="247"/>
      <c r="BN779" s="247"/>
      <c r="BO779" s="247"/>
      <c r="BP779" s="248"/>
    </row>
    <row r="780" spans="1:68" ht="14.25" customHeight="1">
      <c r="A780" s="233">
        <v>123</v>
      </c>
      <c r="B780" s="234">
        <v>584</v>
      </c>
      <c r="C780" s="244" t="s">
        <v>1015</v>
      </c>
      <c r="D780" s="244" t="s">
        <v>1348</v>
      </c>
      <c r="E780" s="244" t="s">
        <v>1349</v>
      </c>
      <c r="F780" s="245">
        <v>-2.2999999999999998</v>
      </c>
      <c r="G780" s="245">
        <v>0.5</v>
      </c>
      <c r="H780" s="245">
        <v>6.2</v>
      </c>
      <c r="I780" s="245">
        <v>13.1</v>
      </c>
      <c r="J780" s="245">
        <v>18.5</v>
      </c>
      <c r="K780" s="245">
        <v>24</v>
      </c>
      <c r="L780" s="245">
        <v>26.9</v>
      </c>
      <c r="M780" s="245">
        <v>24.6</v>
      </c>
      <c r="N780" s="245">
        <v>18.3</v>
      </c>
      <c r="O780" s="245">
        <v>11.1</v>
      </c>
      <c r="P780" s="245">
        <v>4.2</v>
      </c>
      <c r="Q780" s="245">
        <v>-0.3</v>
      </c>
      <c r="R780" s="246">
        <v>12.1</v>
      </c>
      <c r="S780" s="233">
        <v>573</v>
      </c>
      <c r="T780" s="247" t="s">
        <v>1349</v>
      </c>
      <c r="U780" s="245">
        <v>-26</v>
      </c>
      <c r="V780" s="245">
        <v>-23</v>
      </c>
      <c r="W780" s="245">
        <v>-22</v>
      </c>
      <c r="X780" s="245" t="s">
        <v>965</v>
      </c>
      <c r="Y780" s="245">
        <v>-6</v>
      </c>
      <c r="Z780" s="245">
        <v>-37</v>
      </c>
      <c r="AA780" s="245">
        <v>11</v>
      </c>
      <c r="AB780" s="245">
        <v>62</v>
      </c>
      <c r="AC780" s="245" t="s">
        <v>958</v>
      </c>
      <c r="AD780" s="245">
        <v>144</v>
      </c>
      <c r="AE780" s="245">
        <v>1.4</v>
      </c>
      <c r="AF780" s="245" t="s">
        <v>933</v>
      </c>
      <c r="AG780" s="245" t="s">
        <v>931</v>
      </c>
      <c r="AH780" s="245" t="s">
        <v>956</v>
      </c>
      <c r="AI780" s="245" t="s">
        <v>956</v>
      </c>
      <c r="AJ780" s="245" t="s">
        <v>1018</v>
      </c>
      <c r="AK780" s="245" t="s">
        <v>931</v>
      </c>
      <c r="AL780" s="245">
        <v>4.7</v>
      </c>
      <c r="AM780" s="246" t="s">
        <v>931</v>
      </c>
      <c r="AN780" s="235">
        <v>574</v>
      </c>
      <c r="AO780" s="247" t="s">
        <v>1350</v>
      </c>
      <c r="AP780" s="247">
        <v>950</v>
      </c>
      <c r="AQ780" s="247">
        <v>33.299999999999997</v>
      </c>
      <c r="AR780" s="247">
        <v>37.5</v>
      </c>
      <c r="AS780" s="247">
        <v>35.4</v>
      </c>
      <c r="AT780" s="247">
        <v>43</v>
      </c>
      <c r="AU780" s="247">
        <v>20</v>
      </c>
      <c r="AV780" s="247" t="s">
        <v>958</v>
      </c>
      <c r="AW780" s="247" t="s">
        <v>931</v>
      </c>
      <c r="AX780" s="247" t="s">
        <v>931</v>
      </c>
      <c r="AY780" s="247">
        <v>62</v>
      </c>
      <c r="AZ780" s="247" t="s">
        <v>933</v>
      </c>
      <c r="BA780" s="248">
        <v>0</v>
      </c>
      <c r="BB780" s="235"/>
      <c r="BC780" s="247" t="s">
        <v>1349</v>
      </c>
      <c r="BD780" s="247"/>
      <c r="BE780" s="247"/>
      <c r="BF780" s="247"/>
      <c r="BG780" s="247"/>
      <c r="BH780" s="247"/>
      <c r="BI780" s="247"/>
      <c r="BJ780" s="247"/>
      <c r="BK780" s="247"/>
      <c r="BL780" s="247"/>
      <c r="BM780" s="247"/>
      <c r="BN780" s="247"/>
      <c r="BO780" s="247"/>
      <c r="BP780" s="248"/>
    </row>
    <row r="781" spans="1:68" ht="14.25" customHeight="1">
      <c r="A781" s="233">
        <v>124</v>
      </c>
      <c r="B781" s="234">
        <v>505</v>
      </c>
      <c r="C781" s="244" t="s">
        <v>960</v>
      </c>
      <c r="D781" s="244" t="s">
        <v>1064</v>
      </c>
      <c r="E781" s="244" t="s">
        <v>1351</v>
      </c>
      <c r="F781" s="245">
        <v>-7.2</v>
      </c>
      <c r="G781" s="245">
        <v>-6.6</v>
      </c>
      <c r="H781" s="245">
        <v>-0.2</v>
      </c>
      <c r="I781" s="245">
        <v>10.199999999999999</v>
      </c>
      <c r="J781" s="245">
        <v>18.100000000000001</v>
      </c>
      <c r="K781" s="245">
        <v>23.1</v>
      </c>
      <c r="L781" s="245">
        <v>25.2</v>
      </c>
      <c r="M781" s="245">
        <v>23.4</v>
      </c>
      <c r="N781" s="245">
        <v>16.8</v>
      </c>
      <c r="O781" s="245">
        <v>8.6</v>
      </c>
      <c r="P781" s="245">
        <v>1.7</v>
      </c>
      <c r="Q781" s="245">
        <v>-3.7</v>
      </c>
      <c r="R781" s="246">
        <v>9.1</v>
      </c>
      <c r="S781" s="233">
        <v>505</v>
      </c>
      <c r="T781" s="247" t="s">
        <v>1351</v>
      </c>
      <c r="U781" s="245">
        <v>-30</v>
      </c>
      <c r="V781" s="245">
        <v>-28</v>
      </c>
      <c r="W781" s="245">
        <v>-27</v>
      </c>
      <c r="X781" s="245">
        <v>-23</v>
      </c>
      <c r="Y781" s="245" t="s">
        <v>956</v>
      </c>
      <c r="Z781" s="245" t="s">
        <v>931</v>
      </c>
      <c r="AA781" s="245">
        <v>7.4</v>
      </c>
      <c r="AB781" s="245">
        <v>111</v>
      </c>
      <c r="AC781" s="245">
        <v>-5.0999999999999996</v>
      </c>
      <c r="AD781" s="245">
        <v>174</v>
      </c>
      <c r="AE781" s="245">
        <v>-1.9</v>
      </c>
      <c r="AF781" s="245">
        <v>187</v>
      </c>
      <c r="AG781" s="245">
        <v>-1.2</v>
      </c>
      <c r="AH781" s="245">
        <v>82</v>
      </c>
      <c r="AI781" s="245" t="s">
        <v>956</v>
      </c>
      <c r="AJ781" s="245">
        <v>66</v>
      </c>
      <c r="AK781" s="245" t="s">
        <v>982</v>
      </c>
      <c r="AL781" s="245">
        <v>7.3</v>
      </c>
      <c r="AM781" s="246">
        <v>4.9000000000000004</v>
      </c>
      <c r="AN781" s="235">
        <v>505</v>
      </c>
      <c r="AO781" s="247" t="s">
        <v>1352</v>
      </c>
      <c r="AP781" s="247" t="s">
        <v>965</v>
      </c>
      <c r="AQ781" s="247" t="s">
        <v>958</v>
      </c>
      <c r="AR781" s="247" t="s">
        <v>931</v>
      </c>
      <c r="AS781" s="247">
        <v>31.2</v>
      </c>
      <c r="AT781" s="247">
        <v>40</v>
      </c>
      <c r="AU781" s="247">
        <v>13</v>
      </c>
      <c r="AV781" s="247">
        <v>57</v>
      </c>
      <c r="AW781" s="247" t="s">
        <v>931</v>
      </c>
      <c r="AX781" s="247">
        <v>112</v>
      </c>
      <c r="AY781" s="247" t="s">
        <v>965</v>
      </c>
      <c r="AZ781" s="247" t="s">
        <v>978</v>
      </c>
      <c r="BA781" s="248">
        <v>4.0999999999999996</v>
      </c>
      <c r="BB781" s="235"/>
      <c r="BC781" s="247" t="s">
        <v>1351</v>
      </c>
      <c r="BD781" s="247"/>
      <c r="BE781" s="247"/>
      <c r="BF781" s="247"/>
      <c r="BG781" s="247"/>
      <c r="BH781" s="247"/>
      <c r="BI781" s="247"/>
      <c r="BJ781" s="247"/>
      <c r="BK781" s="247"/>
      <c r="BL781" s="247"/>
      <c r="BM781" s="247"/>
      <c r="BN781" s="247"/>
      <c r="BO781" s="247"/>
      <c r="BP781" s="248"/>
    </row>
    <row r="782" spans="1:68" ht="14.25" customHeight="1">
      <c r="A782" s="233">
        <v>125</v>
      </c>
      <c r="B782" s="234">
        <v>572</v>
      </c>
      <c r="C782" s="244" t="s">
        <v>1353</v>
      </c>
      <c r="D782" s="244" t="s">
        <v>1354</v>
      </c>
      <c r="E782" s="244" t="s">
        <v>1355</v>
      </c>
      <c r="F782" s="245">
        <v>-3.9</v>
      </c>
      <c r="G782" s="245">
        <v>-2</v>
      </c>
      <c r="H782" s="245">
        <v>3.7</v>
      </c>
      <c r="I782" s="245">
        <v>11.4</v>
      </c>
      <c r="J782" s="245">
        <v>15.6</v>
      </c>
      <c r="K782" s="245">
        <v>19.7</v>
      </c>
      <c r="L782" s="245">
        <v>23.6</v>
      </c>
      <c r="M782" s="245">
        <v>23.9</v>
      </c>
      <c r="N782" s="245">
        <v>19.399999999999999</v>
      </c>
      <c r="O782" s="245">
        <v>12.4</v>
      </c>
      <c r="P782" s="245">
        <v>5.8</v>
      </c>
      <c r="Q782" s="245">
        <v>0.2</v>
      </c>
      <c r="R782" s="246">
        <v>10.8</v>
      </c>
      <c r="S782" s="251"/>
      <c r="T782" s="247" t="s">
        <v>1356</v>
      </c>
      <c r="U782" s="247"/>
      <c r="V782" s="247"/>
      <c r="W782" s="247"/>
      <c r="X782" s="247"/>
      <c r="Y782" s="247"/>
      <c r="Z782" s="247"/>
      <c r="AA782" s="247"/>
      <c r="AB782" s="247"/>
      <c r="AC782" s="247"/>
      <c r="AD782" s="247"/>
      <c r="AE782" s="247"/>
      <c r="AF782" s="247"/>
      <c r="AG782" s="247"/>
      <c r="AH782" s="247"/>
      <c r="AI782" s="247"/>
      <c r="AJ782" s="247"/>
      <c r="AK782" s="247"/>
      <c r="AL782" s="247"/>
      <c r="AM782" s="248"/>
      <c r="AN782" s="235"/>
      <c r="AO782" s="247" t="s">
        <v>1356</v>
      </c>
      <c r="AP782" s="247"/>
      <c r="AQ782" s="247"/>
      <c r="AR782" s="247"/>
      <c r="AS782" s="247"/>
      <c r="AT782" s="247"/>
      <c r="AU782" s="247"/>
      <c r="AV782" s="247"/>
      <c r="AW782" s="247"/>
      <c r="AX782" s="247"/>
      <c r="AY782" s="247"/>
      <c r="AZ782" s="247"/>
      <c r="BA782" s="248"/>
      <c r="BB782" s="235"/>
      <c r="BC782" s="247" t="s">
        <v>1355</v>
      </c>
      <c r="BD782" s="247"/>
      <c r="BE782" s="247"/>
      <c r="BF782" s="247"/>
      <c r="BG782" s="247"/>
      <c r="BH782" s="247"/>
      <c r="BI782" s="247"/>
      <c r="BJ782" s="247"/>
      <c r="BK782" s="247"/>
      <c r="BL782" s="247"/>
      <c r="BM782" s="247"/>
      <c r="BN782" s="247"/>
      <c r="BO782" s="247"/>
      <c r="BP782" s="248"/>
    </row>
    <row r="783" spans="1:68" ht="14.25" customHeight="1">
      <c r="A783" s="233">
        <v>126</v>
      </c>
      <c r="B783" s="234">
        <v>554</v>
      </c>
      <c r="C783" s="249" t="s">
        <v>1074</v>
      </c>
      <c r="D783" s="249" t="s">
        <v>1357</v>
      </c>
      <c r="E783" s="244" t="s">
        <v>1358</v>
      </c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6"/>
      <c r="S783" s="250">
        <v>554</v>
      </c>
      <c r="T783" s="247" t="s">
        <v>1358</v>
      </c>
      <c r="U783" s="245">
        <v>-17</v>
      </c>
      <c r="V783" s="245">
        <v>-13</v>
      </c>
      <c r="W783" s="245">
        <v>-12</v>
      </c>
      <c r="X783" s="245">
        <v>-8</v>
      </c>
      <c r="Y783" s="245">
        <v>0</v>
      </c>
      <c r="Z783" s="245">
        <v>-18</v>
      </c>
      <c r="AA783" s="245">
        <v>10.5</v>
      </c>
      <c r="AB783" s="245">
        <v>0</v>
      </c>
      <c r="AC783" s="245" t="s">
        <v>830</v>
      </c>
      <c r="AD783" s="245">
        <v>98</v>
      </c>
      <c r="AE783" s="245">
        <v>5.3</v>
      </c>
      <c r="AF783" s="245">
        <v>122</v>
      </c>
      <c r="AG783" s="245">
        <v>6</v>
      </c>
      <c r="AH783" s="245" t="s">
        <v>956</v>
      </c>
      <c r="AI783" s="245">
        <v>64</v>
      </c>
      <c r="AJ783" s="245">
        <v>120</v>
      </c>
      <c r="AK783" s="245" t="s">
        <v>938</v>
      </c>
      <c r="AL783" s="245">
        <v>3.9</v>
      </c>
      <c r="AM783" s="246" t="s">
        <v>931</v>
      </c>
      <c r="AN783" s="235">
        <v>555</v>
      </c>
      <c r="AO783" s="247" t="s">
        <v>1359</v>
      </c>
      <c r="AP783" s="247">
        <v>1020</v>
      </c>
      <c r="AQ783" s="247">
        <v>33</v>
      </c>
      <c r="AR783" s="247">
        <v>28</v>
      </c>
      <c r="AS783" s="247">
        <v>31.9</v>
      </c>
      <c r="AT783" s="247">
        <v>46</v>
      </c>
      <c r="AU783" s="247">
        <v>8.3000000000000007</v>
      </c>
      <c r="AV783" s="247">
        <v>71</v>
      </c>
      <c r="AW783" s="247">
        <v>58</v>
      </c>
      <c r="AX783" s="247">
        <v>85</v>
      </c>
      <c r="AY783" s="247">
        <v>79</v>
      </c>
      <c r="AZ783" s="247" t="s">
        <v>952</v>
      </c>
      <c r="BA783" s="248">
        <v>2.6</v>
      </c>
      <c r="BB783" s="235"/>
      <c r="BC783" s="247" t="s">
        <v>1358</v>
      </c>
      <c r="BD783" s="247"/>
      <c r="BE783" s="247"/>
      <c r="BF783" s="247"/>
      <c r="BG783" s="247"/>
      <c r="BH783" s="247"/>
      <c r="BI783" s="247"/>
      <c r="BJ783" s="247"/>
      <c r="BK783" s="247"/>
      <c r="BL783" s="247"/>
      <c r="BM783" s="247"/>
      <c r="BN783" s="247"/>
      <c r="BO783" s="247"/>
      <c r="BP783" s="248"/>
    </row>
    <row r="784" spans="1:68" ht="14.25" customHeight="1">
      <c r="A784" s="233">
        <v>127</v>
      </c>
      <c r="B784" s="234">
        <v>551</v>
      </c>
      <c r="C784" s="249" t="s">
        <v>1074</v>
      </c>
      <c r="D784" s="249" t="s">
        <v>1075</v>
      </c>
      <c r="E784" s="244" t="s">
        <v>1360</v>
      </c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6"/>
      <c r="S784" s="250">
        <v>551</v>
      </c>
      <c r="T784" s="247" t="s">
        <v>1360</v>
      </c>
      <c r="U784" s="245">
        <v>-18</v>
      </c>
      <c r="V784" s="245">
        <v>-14</v>
      </c>
      <c r="W784" s="245">
        <v>-13</v>
      </c>
      <c r="X784" s="245">
        <v>-11</v>
      </c>
      <c r="Y784" s="245">
        <v>-3</v>
      </c>
      <c r="Z784" s="245">
        <v>-22</v>
      </c>
      <c r="AA784" s="245">
        <v>9.5</v>
      </c>
      <c r="AB784" s="245">
        <v>21</v>
      </c>
      <c r="AC784" s="245">
        <v>-0.1</v>
      </c>
      <c r="AD784" s="245">
        <v>151</v>
      </c>
      <c r="AE784" s="245">
        <v>2.7</v>
      </c>
      <c r="AF784" s="245">
        <v>173</v>
      </c>
      <c r="AG784" s="245">
        <v>3.4</v>
      </c>
      <c r="AH784" s="245" t="s">
        <v>956</v>
      </c>
      <c r="AI784" s="245">
        <v>60</v>
      </c>
      <c r="AJ784" s="245">
        <v>174</v>
      </c>
      <c r="AK784" s="245" t="s">
        <v>963</v>
      </c>
      <c r="AL784" s="245">
        <v>5.4</v>
      </c>
      <c r="AM784" s="246" t="s">
        <v>931</v>
      </c>
      <c r="AN784" s="235">
        <v>552</v>
      </c>
      <c r="AO784" s="247" t="s">
        <v>1361</v>
      </c>
      <c r="AP784" s="247">
        <v>850</v>
      </c>
      <c r="AQ784" s="247">
        <v>30</v>
      </c>
      <c r="AR784" s="247">
        <v>24</v>
      </c>
      <c r="AS784" s="247">
        <v>27.6</v>
      </c>
      <c r="AT784" s="247">
        <v>38</v>
      </c>
      <c r="AU784" s="247">
        <v>11.8</v>
      </c>
      <c r="AV784" s="247">
        <v>38</v>
      </c>
      <c r="AW784" s="247">
        <v>30</v>
      </c>
      <c r="AX784" s="247">
        <v>183</v>
      </c>
      <c r="AY784" s="247">
        <v>85</v>
      </c>
      <c r="AZ784" s="247" t="s">
        <v>1005</v>
      </c>
      <c r="BA784" s="248">
        <v>1.8</v>
      </c>
      <c r="BB784" s="235"/>
      <c r="BC784" s="247" t="s">
        <v>1360</v>
      </c>
      <c r="BD784" s="247"/>
      <c r="BE784" s="247"/>
      <c r="BF784" s="247"/>
      <c r="BG784" s="247"/>
      <c r="BH784" s="247"/>
      <c r="BI784" s="247"/>
      <c r="BJ784" s="247"/>
      <c r="BK784" s="247"/>
      <c r="BL784" s="247"/>
      <c r="BM784" s="247"/>
      <c r="BN784" s="247"/>
      <c r="BO784" s="247"/>
      <c r="BP784" s="248"/>
    </row>
    <row r="785" spans="1:68" ht="14.25" customHeight="1">
      <c r="A785" s="233">
        <v>128</v>
      </c>
      <c r="B785" s="234">
        <v>351</v>
      </c>
      <c r="C785" s="244" t="s">
        <v>928</v>
      </c>
      <c r="D785" s="244" t="s">
        <v>1081</v>
      </c>
      <c r="E785" s="244" t="s">
        <v>1362</v>
      </c>
      <c r="F785" s="245">
        <v>-24.9</v>
      </c>
      <c r="G785" s="245">
        <v>-20.100000000000001</v>
      </c>
      <c r="H785" s="245">
        <v>-10.6</v>
      </c>
      <c r="I785" s="245">
        <v>1.3</v>
      </c>
      <c r="J785" s="245">
        <v>9.1</v>
      </c>
      <c r="K785" s="245">
        <v>15.6</v>
      </c>
      <c r="L785" s="245">
        <v>19.600000000000001</v>
      </c>
      <c r="M785" s="245">
        <v>18.399999999999999</v>
      </c>
      <c r="N785" s="245">
        <v>11.4</v>
      </c>
      <c r="O785" s="245">
        <v>1.5</v>
      </c>
      <c r="P785" s="245">
        <v>-10.8</v>
      </c>
      <c r="Q785" s="245">
        <v>-20.8</v>
      </c>
      <c r="R785" s="246">
        <v>-0.9</v>
      </c>
      <c r="S785" s="233">
        <v>351</v>
      </c>
      <c r="T785" s="247" t="s">
        <v>1363</v>
      </c>
      <c r="U785" s="245">
        <v>-39</v>
      </c>
      <c r="V785" s="245">
        <v>-37</v>
      </c>
      <c r="W785" s="245">
        <v>-37</v>
      </c>
      <c r="X785" s="245">
        <v>-35</v>
      </c>
      <c r="Y785" s="245">
        <v>-30</v>
      </c>
      <c r="Z785" s="245">
        <v>-52</v>
      </c>
      <c r="AA785" s="245">
        <v>17.3</v>
      </c>
      <c r="AB785" s="245">
        <v>174</v>
      </c>
      <c r="AC785" s="245">
        <v>-14.9</v>
      </c>
      <c r="AD785" s="245">
        <v>228</v>
      </c>
      <c r="AE785" s="245">
        <v>-10.4</v>
      </c>
      <c r="AF785" s="245">
        <v>242</v>
      </c>
      <c r="AG785" s="245">
        <v>-9.1999999999999993</v>
      </c>
      <c r="AH785" s="245">
        <v>77</v>
      </c>
      <c r="AI785" s="245">
        <v>64</v>
      </c>
      <c r="AJ785" s="245">
        <v>128</v>
      </c>
      <c r="AK785" s="245" t="s">
        <v>931</v>
      </c>
      <c r="AL785" s="245" t="s">
        <v>931</v>
      </c>
      <c r="AM785" s="246" t="s">
        <v>931</v>
      </c>
      <c r="AN785" s="235">
        <v>351</v>
      </c>
      <c r="AO785" s="247" t="s">
        <v>1364</v>
      </c>
      <c r="AP785" s="247">
        <v>985</v>
      </c>
      <c r="AQ785" s="247">
        <v>24.3</v>
      </c>
      <c r="AR785" s="247">
        <v>28.4</v>
      </c>
      <c r="AS785" s="247">
        <v>26.7</v>
      </c>
      <c r="AT785" s="247">
        <v>41</v>
      </c>
      <c r="AU785" s="247">
        <v>13.3</v>
      </c>
      <c r="AV785" s="247">
        <v>84</v>
      </c>
      <c r="AW785" s="247">
        <v>64</v>
      </c>
      <c r="AX785" s="247">
        <v>850</v>
      </c>
      <c r="AY785" s="247">
        <v>95</v>
      </c>
      <c r="AZ785" s="247" t="s">
        <v>1005</v>
      </c>
      <c r="BA785" s="248" t="s">
        <v>934</v>
      </c>
      <c r="BB785" s="235">
        <v>316</v>
      </c>
      <c r="BC785" s="247" t="s">
        <v>1362</v>
      </c>
      <c r="BD785" s="247">
        <v>0.8</v>
      </c>
      <c r="BE785" s="247">
        <v>1</v>
      </c>
      <c r="BF785" s="247">
        <v>2.2000000000000002</v>
      </c>
      <c r="BG785" s="247">
        <v>4.7</v>
      </c>
      <c r="BH785" s="247">
        <v>7.8</v>
      </c>
      <c r="BI785" s="247">
        <v>13.7</v>
      </c>
      <c r="BJ785" s="247">
        <v>19.399999999999999</v>
      </c>
      <c r="BK785" s="247">
        <v>18.899999999999999</v>
      </c>
      <c r="BL785" s="247">
        <v>11.8</v>
      </c>
      <c r="BM785" s="247">
        <v>5.6</v>
      </c>
      <c r="BN785" s="247">
        <v>2.4</v>
      </c>
      <c r="BO785" s="247">
        <v>1.1000000000000001</v>
      </c>
      <c r="BP785" s="248">
        <v>7.4</v>
      </c>
    </row>
    <row r="786" spans="1:68" ht="14.25" customHeight="1">
      <c r="A786" s="233">
        <v>129</v>
      </c>
      <c r="B786" s="234">
        <v>642</v>
      </c>
      <c r="C786" s="244" t="s">
        <v>953</v>
      </c>
      <c r="D786" s="244" t="s">
        <v>1050</v>
      </c>
      <c r="E786" s="244" t="s">
        <v>1365</v>
      </c>
      <c r="F786" s="245">
        <v>-2.2999999999999998</v>
      </c>
      <c r="G786" s="245">
        <v>-1.6</v>
      </c>
      <c r="H786" s="245">
        <v>2</v>
      </c>
      <c r="I786" s="245">
        <v>9.3000000000000007</v>
      </c>
      <c r="J786" s="245">
        <v>16.100000000000001</v>
      </c>
      <c r="K786" s="245">
        <v>20.6</v>
      </c>
      <c r="L786" s="245">
        <v>22.9</v>
      </c>
      <c r="M786" s="245">
        <v>22.1</v>
      </c>
      <c r="N786" s="245">
        <v>17.3</v>
      </c>
      <c r="O786" s="245">
        <v>10.7</v>
      </c>
      <c r="P786" s="245">
        <v>5.4</v>
      </c>
      <c r="Q786" s="245">
        <v>1.1000000000000001</v>
      </c>
      <c r="R786" s="246">
        <v>10.3</v>
      </c>
      <c r="S786" s="233">
        <v>631</v>
      </c>
      <c r="T786" s="247" t="s">
        <v>1365</v>
      </c>
      <c r="U786" s="245">
        <v>-27</v>
      </c>
      <c r="V786" s="245">
        <v>-24</v>
      </c>
      <c r="W786" s="245">
        <v>-23</v>
      </c>
      <c r="X786" s="245">
        <v>-19</v>
      </c>
      <c r="Y786" s="245">
        <v>-7</v>
      </c>
      <c r="Z786" s="245">
        <v>-32</v>
      </c>
      <c r="AA786" s="245" t="s">
        <v>956</v>
      </c>
      <c r="AB786" s="245">
        <v>70</v>
      </c>
      <c r="AC786" s="245">
        <v>-1.7</v>
      </c>
      <c r="AD786" s="245">
        <v>161</v>
      </c>
      <c r="AE786" s="245">
        <v>1.4</v>
      </c>
      <c r="AF786" s="245">
        <v>178</v>
      </c>
      <c r="AG786" s="245">
        <v>2.1</v>
      </c>
      <c r="AH786" s="245" t="s">
        <v>956</v>
      </c>
      <c r="AI786" s="245" t="s">
        <v>956</v>
      </c>
      <c r="AJ786" s="245">
        <v>166</v>
      </c>
      <c r="AK786" s="245" t="s">
        <v>982</v>
      </c>
      <c r="AL786" s="245">
        <v>6.6</v>
      </c>
      <c r="AM786" s="246" t="s">
        <v>931</v>
      </c>
      <c r="AN786" s="235">
        <v>632</v>
      </c>
      <c r="AO786" s="247" t="s">
        <v>1366</v>
      </c>
      <c r="AP786" s="247">
        <v>1015</v>
      </c>
      <c r="AQ786" s="247">
        <v>29</v>
      </c>
      <c r="AR786" s="247">
        <v>25</v>
      </c>
      <c r="AS786" s="247">
        <v>27.1</v>
      </c>
      <c r="AT786" s="247">
        <v>38</v>
      </c>
      <c r="AU786" s="247" t="s">
        <v>934</v>
      </c>
      <c r="AV786" s="247" t="s">
        <v>958</v>
      </c>
      <c r="AW786" s="247" t="s">
        <v>931</v>
      </c>
      <c r="AX786" s="247" t="s">
        <v>931</v>
      </c>
      <c r="AY786" s="247">
        <v>114</v>
      </c>
      <c r="AZ786" s="247" t="s">
        <v>1005</v>
      </c>
      <c r="BA786" s="248">
        <v>2.6</v>
      </c>
      <c r="BB786" s="235"/>
      <c r="BC786" s="247" t="s">
        <v>1365</v>
      </c>
      <c r="BD786" s="247"/>
      <c r="BE786" s="247"/>
      <c r="BF786" s="247"/>
      <c r="BG786" s="247"/>
      <c r="BH786" s="247"/>
      <c r="BI786" s="247"/>
      <c r="BJ786" s="247"/>
      <c r="BK786" s="247"/>
      <c r="BL786" s="247"/>
      <c r="BM786" s="247"/>
      <c r="BN786" s="247"/>
      <c r="BO786" s="247"/>
      <c r="BP786" s="248"/>
    </row>
    <row r="787" spans="1:68" ht="14.25" customHeight="1">
      <c r="A787" s="233">
        <v>130</v>
      </c>
      <c r="B787" s="234">
        <v>340</v>
      </c>
      <c r="C787" s="244" t="s">
        <v>928</v>
      </c>
      <c r="D787" s="244" t="s">
        <v>1367</v>
      </c>
      <c r="E787" s="244" t="s">
        <v>1368</v>
      </c>
      <c r="F787" s="245">
        <v>-14.9</v>
      </c>
      <c r="G787" s="245">
        <v>-14</v>
      </c>
      <c r="H787" s="245">
        <v>-8</v>
      </c>
      <c r="I787" s="245">
        <v>2</v>
      </c>
      <c r="J787" s="245">
        <v>9.9</v>
      </c>
      <c r="K787" s="245">
        <v>15.8</v>
      </c>
      <c r="L787" s="245">
        <v>17.8</v>
      </c>
      <c r="M787" s="245">
        <v>15.4</v>
      </c>
      <c r="N787" s="245">
        <v>9.1</v>
      </c>
      <c r="O787" s="245">
        <v>1.8</v>
      </c>
      <c r="P787" s="245">
        <v>-6.2</v>
      </c>
      <c r="Q787" s="245">
        <v>-12.6</v>
      </c>
      <c r="R787" s="246">
        <v>1.3</v>
      </c>
      <c r="S787" s="233">
        <v>340</v>
      </c>
      <c r="T787" s="247" t="s">
        <v>1369</v>
      </c>
      <c r="U787" s="245">
        <v>-42</v>
      </c>
      <c r="V787" s="245">
        <v>-39</v>
      </c>
      <c r="W787" s="245">
        <v>-38</v>
      </c>
      <c r="X787" s="245">
        <v>-35</v>
      </c>
      <c r="Y787" s="245">
        <v>-20</v>
      </c>
      <c r="Z787" s="245">
        <v>-50</v>
      </c>
      <c r="AA787" s="245">
        <v>8</v>
      </c>
      <c r="AB787" s="245">
        <v>168</v>
      </c>
      <c r="AC787" s="245">
        <v>-9.6999999999999993</v>
      </c>
      <c r="AD787" s="245">
        <v>231</v>
      </c>
      <c r="AE787" s="245">
        <v>-6</v>
      </c>
      <c r="AF787" s="245">
        <v>247</v>
      </c>
      <c r="AG787" s="245">
        <v>-5</v>
      </c>
      <c r="AH787" s="245">
        <v>85</v>
      </c>
      <c r="AI787" s="245">
        <v>84</v>
      </c>
      <c r="AJ787" s="245">
        <v>248</v>
      </c>
      <c r="AK787" s="245" t="s">
        <v>971</v>
      </c>
      <c r="AL787" s="245">
        <v>4.9000000000000004</v>
      </c>
      <c r="AM787" s="246" t="s">
        <v>931</v>
      </c>
      <c r="AN787" s="235">
        <v>340</v>
      </c>
      <c r="AO787" s="247" t="s">
        <v>1370</v>
      </c>
      <c r="AP787" s="247">
        <v>995</v>
      </c>
      <c r="AQ787" s="247">
        <v>21.2</v>
      </c>
      <c r="AR787" s="247">
        <v>25.4</v>
      </c>
      <c r="AS787" s="247">
        <v>23.6</v>
      </c>
      <c r="AT787" s="247">
        <v>37</v>
      </c>
      <c r="AU787" s="247">
        <v>11.8</v>
      </c>
      <c r="AV787" s="247">
        <v>71</v>
      </c>
      <c r="AW787" s="247">
        <v>55</v>
      </c>
      <c r="AX787" s="247">
        <v>437</v>
      </c>
      <c r="AY787" s="247">
        <v>62</v>
      </c>
      <c r="AZ787" s="247" t="s">
        <v>952</v>
      </c>
      <c r="BA787" s="248">
        <v>0</v>
      </c>
      <c r="BB787" s="235"/>
      <c r="BC787" s="247" t="s">
        <v>1368</v>
      </c>
      <c r="BD787" s="247"/>
      <c r="BE787" s="247"/>
      <c r="BF787" s="247"/>
      <c r="BG787" s="247"/>
      <c r="BH787" s="247"/>
      <c r="BI787" s="247"/>
      <c r="BJ787" s="247"/>
      <c r="BK787" s="247"/>
      <c r="BL787" s="247"/>
      <c r="BM787" s="247"/>
      <c r="BN787" s="247"/>
      <c r="BO787" s="247"/>
      <c r="BP787" s="248"/>
    </row>
    <row r="788" spans="1:68" ht="14.25" customHeight="1">
      <c r="A788" s="233">
        <v>131</v>
      </c>
      <c r="B788" s="234">
        <v>473</v>
      </c>
      <c r="C788" s="244" t="s">
        <v>1220</v>
      </c>
      <c r="D788" s="244" t="s">
        <v>1261</v>
      </c>
      <c r="E788" s="244" t="s">
        <v>1371</v>
      </c>
      <c r="F788" s="245">
        <v>-7</v>
      </c>
      <c r="G788" s="245">
        <v>-6.1</v>
      </c>
      <c r="H788" s="245">
        <v>-1.5</v>
      </c>
      <c r="I788" s="245">
        <v>6.6</v>
      </c>
      <c r="J788" s="245">
        <v>13.9</v>
      </c>
      <c r="K788" s="245">
        <v>17</v>
      </c>
      <c r="L788" s="245">
        <v>18.5</v>
      </c>
      <c r="M788" s="245">
        <v>17.399999999999999</v>
      </c>
      <c r="N788" s="245">
        <v>12.5</v>
      </c>
      <c r="O788" s="245">
        <v>6.5</v>
      </c>
      <c r="P788" s="245">
        <v>0.7</v>
      </c>
      <c r="Q788" s="245">
        <v>-4.0999999999999996</v>
      </c>
      <c r="R788" s="246">
        <v>6.2</v>
      </c>
      <c r="S788" s="233">
        <v>473</v>
      </c>
      <c r="T788" s="247" t="s">
        <v>1372</v>
      </c>
      <c r="U788" s="245">
        <v>-32</v>
      </c>
      <c r="V788" s="245">
        <v>-28</v>
      </c>
      <c r="W788" s="245">
        <v>-28</v>
      </c>
      <c r="X788" s="245">
        <v>-24</v>
      </c>
      <c r="Y788" s="245">
        <v>-11</v>
      </c>
      <c r="Z788" s="245">
        <v>-35</v>
      </c>
      <c r="AA788" s="245">
        <v>6.3</v>
      </c>
      <c r="AB788" s="245">
        <v>125</v>
      </c>
      <c r="AC788" s="245">
        <v>-4.7</v>
      </c>
      <c r="AD788" s="245">
        <v>194</v>
      </c>
      <c r="AE788" s="245">
        <v>-1.6</v>
      </c>
      <c r="AF788" s="245">
        <v>211</v>
      </c>
      <c r="AG788" s="245">
        <v>-0.7</v>
      </c>
      <c r="AH788" s="245">
        <v>84</v>
      </c>
      <c r="AI788" s="245">
        <v>80</v>
      </c>
      <c r="AJ788" s="245">
        <v>194</v>
      </c>
      <c r="AK788" s="245" t="s">
        <v>963</v>
      </c>
      <c r="AL788" s="245">
        <v>4</v>
      </c>
      <c r="AM788" s="246">
        <v>3.9</v>
      </c>
      <c r="AN788" s="235">
        <v>473</v>
      </c>
      <c r="AO788" s="247" t="s">
        <v>1373</v>
      </c>
      <c r="AP788" s="247">
        <v>1000</v>
      </c>
      <c r="AQ788" s="247">
        <v>22.5</v>
      </c>
      <c r="AR788" s="247">
        <v>27</v>
      </c>
      <c r="AS788" s="247">
        <v>24</v>
      </c>
      <c r="AT788" s="247">
        <v>38</v>
      </c>
      <c r="AU788" s="247">
        <v>10.5</v>
      </c>
      <c r="AV788" s="247">
        <v>69</v>
      </c>
      <c r="AW788" s="247">
        <v>55</v>
      </c>
      <c r="AX788" s="247">
        <v>436</v>
      </c>
      <c r="AY788" s="247">
        <v>90</v>
      </c>
      <c r="AZ788" s="247" t="s">
        <v>959</v>
      </c>
      <c r="BA788" s="248">
        <v>3.4</v>
      </c>
      <c r="BB788" s="235"/>
      <c r="BC788" s="247" t="s">
        <v>1372</v>
      </c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8"/>
    </row>
    <row r="789" spans="1:68" ht="14.25" customHeight="1">
      <c r="A789" s="233">
        <v>132</v>
      </c>
      <c r="B789" s="234">
        <v>460</v>
      </c>
      <c r="C789" s="244" t="s">
        <v>1253</v>
      </c>
      <c r="D789" s="244" t="s">
        <v>1253</v>
      </c>
      <c r="E789" s="244" t="s">
        <v>1374</v>
      </c>
      <c r="F789" s="245">
        <v>-0.5</v>
      </c>
      <c r="G789" s="245">
        <v>-0.2</v>
      </c>
      <c r="H789" s="245">
        <v>2.2999999999999998</v>
      </c>
      <c r="I789" s="245">
        <v>8.1</v>
      </c>
      <c r="J789" s="245">
        <v>12.5</v>
      </c>
      <c r="K789" s="245">
        <v>15.9</v>
      </c>
      <c r="L789" s="245">
        <v>18.5</v>
      </c>
      <c r="M789" s="245">
        <v>17.899999999999999</v>
      </c>
      <c r="N789" s="245">
        <v>14.2</v>
      </c>
      <c r="O789" s="245">
        <v>9.4</v>
      </c>
      <c r="P789" s="245">
        <v>5.3</v>
      </c>
      <c r="Q789" s="245">
        <v>1.7</v>
      </c>
      <c r="R789" s="246">
        <v>8.8000000000000007</v>
      </c>
      <c r="S789" s="233">
        <v>460</v>
      </c>
      <c r="T789" s="247" t="s">
        <v>1375</v>
      </c>
      <c r="U789" s="245">
        <v>-15</v>
      </c>
      <c r="V789" s="245">
        <v>-13</v>
      </c>
      <c r="W789" s="245">
        <v>-13</v>
      </c>
      <c r="X789" s="245">
        <v>-11</v>
      </c>
      <c r="Y789" s="245" t="s">
        <v>956</v>
      </c>
      <c r="Z789" s="245">
        <v>-20</v>
      </c>
      <c r="AA789" s="245" t="s">
        <v>956</v>
      </c>
      <c r="AB789" s="245">
        <v>45</v>
      </c>
      <c r="AC789" s="245">
        <v>-0.6</v>
      </c>
      <c r="AD789" s="245">
        <v>173</v>
      </c>
      <c r="AE789" s="245">
        <v>2.4</v>
      </c>
      <c r="AF789" s="245">
        <v>197</v>
      </c>
      <c r="AG789" s="245">
        <v>3.2</v>
      </c>
      <c r="AH789" s="245">
        <v>65</v>
      </c>
      <c r="AI789" s="245">
        <v>51</v>
      </c>
      <c r="AJ789" s="245">
        <v>225</v>
      </c>
      <c r="AK789" s="245" t="s">
        <v>944</v>
      </c>
      <c r="AL789" s="245">
        <v>4.3</v>
      </c>
      <c r="AM789" s="246" t="s">
        <v>931</v>
      </c>
      <c r="AN789" s="235">
        <v>460</v>
      </c>
      <c r="AO789" s="247" t="s">
        <v>1376</v>
      </c>
      <c r="AP789" s="247">
        <v>865</v>
      </c>
      <c r="AQ789" s="247" t="s">
        <v>958</v>
      </c>
      <c r="AR789" s="247" t="s">
        <v>931</v>
      </c>
      <c r="AS789" s="247">
        <v>24.1</v>
      </c>
      <c r="AT789" s="247">
        <v>35</v>
      </c>
      <c r="AU789" s="247" t="s">
        <v>934</v>
      </c>
      <c r="AV789" s="247">
        <v>70</v>
      </c>
      <c r="AW789" s="247">
        <v>52</v>
      </c>
      <c r="AX789" s="247">
        <v>528</v>
      </c>
      <c r="AY789" s="247">
        <v>70</v>
      </c>
      <c r="AZ789" s="247" t="s">
        <v>959</v>
      </c>
      <c r="BA789" s="248">
        <v>0</v>
      </c>
      <c r="BB789" s="235"/>
      <c r="BC789" s="247" t="s">
        <v>1375</v>
      </c>
      <c r="BD789" s="247"/>
      <c r="BE789" s="247"/>
      <c r="BF789" s="247"/>
      <c r="BG789" s="247"/>
      <c r="BH789" s="247"/>
      <c r="BI789" s="247"/>
      <c r="BJ789" s="247"/>
      <c r="BK789" s="247"/>
      <c r="BL789" s="247"/>
      <c r="BM789" s="247"/>
      <c r="BN789" s="247"/>
      <c r="BO789" s="247"/>
      <c r="BP789" s="248"/>
    </row>
    <row r="790" spans="1:68" ht="14.25" customHeight="1">
      <c r="A790" s="233">
        <v>133</v>
      </c>
      <c r="B790" s="234">
        <v>476</v>
      </c>
      <c r="C790" s="244" t="s">
        <v>1220</v>
      </c>
      <c r="D790" s="244" t="s">
        <v>1377</v>
      </c>
      <c r="E790" s="244" t="s">
        <v>1378</v>
      </c>
      <c r="F790" s="245">
        <v>-8.3000000000000007</v>
      </c>
      <c r="G790" s="245">
        <v>-7.8</v>
      </c>
      <c r="H790" s="245">
        <v>-3.3</v>
      </c>
      <c r="I790" s="245">
        <v>4.8</v>
      </c>
      <c r="J790" s="245">
        <v>12.4</v>
      </c>
      <c r="K790" s="245">
        <v>15.9</v>
      </c>
      <c r="L790" s="245">
        <v>17.600000000000001</v>
      </c>
      <c r="M790" s="245">
        <v>16.100000000000001</v>
      </c>
      <c r="N790" s="245">
        <v>11</v>
      </c>
      <c r="O790" s="245">
        <v>5.0999999999999996</v>
      </c>
      <c r="P790" s="245">
        <v>-0.6</v>
      </c>
      <c r="Q790" s="245">
        <v>-5.4</v>
      </c>
      <c r="R790" s="246">
        <v>4.8</v>
      </c>
      <c r="S790" s="233">
        <v>476</v>
      </c>
      <c r="T790" s="247" t="s">
        <v>1379</v>
      </c>
      <c r="U790" s="245">
        <v>-35</v>
      </c>
      <c r="V790" s="245">
        <v>-30</v>
      </c>
      <c r="W790" s="245">
        <v>-29</v>
      </c>
      <c r="X790" s="245">
        <v>-26</v>
      </c>
      <c r="Y790" s="245">
        <v>-12</v>
      </c>
      <c r="Z790" s="245">
        <v>-40</v>
      </c>
      <c r="AA790" s="245">
        <v>6.3</v>
      </c>
      <c r="AB790" s="245">
        <v>139</v>
      </c>
      <c r="AC790" s="245">
        <v>-5.6</v>
      </c>
      <c r="AD790" s="245">
        <v>208</v>
      </c>
      <c r="AE790" s="245">
        <v>-2.4</v>
      </c>
      <c r="AF790" s="245">
        <v>226</v>
      </c>
      <c r="AG790" s="245">
        <v>-1.5</v>
      </c>
      <c r="AH790" s="245">
        <v>86</v>
      </c>
      <c r="AI790" s="245">
        <v>84</v>
      </c>
      <c r="AJ790" s="245">
        <v>205</v>
      </c>
      <c r="AK790" s="245" t="s">
        <v>963</v>
      </c>
      <c r="AL790" s="245">
        <v>5.3</v>
      </c>
      <c r="AM790" s="246">
        <v>4.4000000000000004</v>
      </c>
      <c r="AN790" s="235">
        <v>476</v>
      </c>
      <c r="AO790" s="247" t="s">
        <v>1380</v>
      </c>
      <c r="AP790" s="247">
        <v>990</v>
      </c>
      <c r="AQ790" s="247">
        <v>21.5</v>
      </c>
      <c r="AR790" s="247">
        <v>25</v>
      </c>
      <c r="AS790" s="247">
        <v>23</v>
      </c>
      <c r="AT790" s="247">
        <v>36</v>
      </c>
      <c r="AU790" s="247">
        <v>10</v>
      </c>
      <c r="AV790" s="247">
        <v>75</v>
      </c>
      <c r="AW790" s="247">
        <v>59</v>
      </c>
      <c r="AX790" s="247">
        <v>462</v>
      </c>
      <c r="AY790" s="247">
        <v>97</v>
      </c>
      <c r="AZ790" s="247" t="s">
        <v>1381</v>
      </c>
      <c r="BA790" s="248">
        <v>3.1</v>
      </c>
      <c r="BB790" s="235"/>
      <c r="BC790" s="247" t="s">
        <v>1379</v>
      </c>
      <c r="BD790" s="247"/>
      <c r="BE790" s="247"/>
      <c r="BF790" s="247"/>
      <c r="BG790" s="247"/>
      <c r="BH790" s="247"/>
      <c r="BI790" s="247"/>
      <c r="BJ790" s="247"/>
      <c r="BK790" s="247"/>
      <c r="BL790" s="247"/>
      <c r="BM790" s="247"/>
      <c r="BN790" s="247"/>
      <c r="BO790" s="247"/>
      <c r="BP790" s="248"/>
    </row>
    <row r="791" spans="1:68" ht="14.25" customHeight="1">
      <c r="A791" s="233">
        <v>134</v>
      </c>
      <c r="B791" s="234">
        <v>20</v>
      </c>
      <c r="C791" s="244" t="s">
        <v>928</v>
      </c>
      <c r="D791" s="244" t="s">
        <v>1046</v>
      </c>
      <c r="E791" s="244" t="s">
        <v>1382</v>
      </c>
      <c r="F791" s="245">
        <v>-31.2</v>
      </c>
      <c r="G791" s="245">
        <v>-24.6</v>
      </c>
      <c r="H791" s="245">
        <v>-14</v>
      </c>
      <c r="I791" s="245">
        <v>0.3</v>
      </c>
      <c r="J791" s="245">
        <v>9.1</v>
      </c>
      <c r="K791" s="245">
        <v>15.9</v>
      </c>
      <c r="L791" s="245">
        <v>19.3</v>
      </c>
      <c r="M791" s="245">
        <v>16.899999999999999</v>
      </c>
      <c r="N791" s="245">
        <v>9.9</v>
      </c>
      <c r="O791" s="245">
        <v>-0.6</v>
      </c>
      <c r="P791" s="245">
        <v>-16.3</v>
      </c>
      <c r="Q791" s="245">
        <v>-28.2</v>
      </c>
      <c r="R791" s="246">
        <v>-3.6</v>
      </c>
      <c r="S791" s="233">
        <v>20</v>
      </c>
      <c r="T791" s="247" t="s">
        <v>1383</v>
      </c>
      <c r="U791" s="245">
        <v>-46</v>
      </c>
      <c r="V791" s="245">
        <v>-44</v>
      </c>
      <c r="W791" s="245">
        <v>-43</v>
      </c>
      <c r="X791" s="245">
        <v>-42</v>
      </c>
      <c r="Y791" s="245">
        <v>-36</v>
      </c>
      <c r="Z791" s="245">
        <v>-52</v>
      </c>
      <c r="AA791" s="245">
        <v>15.9</v>
      </c>
      <c r="AB791" s="245">
        <v>183</v>
      </c>
      <c r="AC791" s="245">
        <v>-18.899999999999999</v>
      </c>
      <c r="AD791" s="245">
        <v>233</v>
      </c>
      <c r="AE791" s="245">
        <v>-14</v>
      </c>
      <c r="AF791" s="245">
        <v>247</v>
      </c>
      <c r="AG791" s="245">
        <v>-12.7</v>
      </c>
      <c r="AH791" s="245">
        <v>73</v>
      </c>
      <c r="AI791" s="245">
        <v>66</v>
      </c>
      <c r="AJ791" s="245">
        <v>50</v>
      </c>
      <c r="AK791" s="245" t="s">
        <v>950</v>
      </c>
      <c r="AL791" s="245">
        <v>1.5</v>
      </c>
      <c r="AM791" s="246" t="s">
        <v>931</v>
      </c>
      <c r="AN791" s="235">
        <v>20</v>
      </c>
      <c r="AO791" s="247" t="s">
        <v>1384</v>
      </c>
      <c r="AP791" s="247">
        <v>980</v>
      </c>
      <c r="AQ791" s="247">
        <v>23.3</v>
      </c>
      <c r="AR791" s="247">
        <v>27.4</v>
      </c>
      <c r="AS791" s="247">
        <v>25.7</v>
      </c>
      <c r="AT791" s="247">
        <v>40</v>
      </c>
      <c r="AU791" s="247">
        <v>13.5</v>
      </c>
      <c r="AV791" s="247">
        <v>80</v>
      </c>
      <c r="AW791" s="247">
        <v>63</v>
      </c>
      <c r="AX791" s="247">
        <v>554</v>
      </c>
      <c r="AY791" s="247">
        <v>107</v>
      </c>
      <c r="AZ791" s="247" t="s">
        <v>946</v>
      </c>
      <c r="BA791" s="248">
        <v>0</v>
      </c>
      <c r="BB791" s="235"/>
      <c r="BC791" s="247" t="s">
        <v>1382</v>
      </c>
      <c r="BD791" s="247"/>
      <c r="BE791" s="247"/>
      <c r="BF791" s="247"/>
      <c r="BG791" s="247"/>
      <c r="BH791" s="247"/>
      <c r="BI791" s="247"/>
      <c r="BJ791" s="247"/>
      <c r="BK791" s="247"/>
      <c r="BL791" s="247"/>
      <c r="BM791" s="247"/>
      <c r="BN791" s="247"/>
      <c r="BO791" s="247"/>
      <c r="BP791" s="248"/>
    </row>
    <row r="792" spans="1:68" ht="14.25" customHeight="1">
      <c r="A792" s="233">
        <v>135</v>
      </c>
      <c r="B792" s="234">
        <v>474</v>
      </c>
      <c r="C792" s="244" t="s">
        <v>1220</v>
      </c>
      <c r="D792" s="244" t="s">
        <v>1385</v>
      </c>
      <c r="E792" s="244" t="s">
        <v>1386</v>
      </c>
      <c r="F792" s="245">
        <v>-5.0999999999999996</v>
      </c>
      <c r="G792" s="245">
        <v>-4.4000000000000004</v>
      </c>
      <c r="H792" s="245">
        <v>-0.5</v>
      </c>
      <c r="I792" s="245">
        <v>6.3</v>
      </c>
      <c r="J792" s="245">
        <v>12.9</v>
      </c>
      <c r="K792" s="245">
        <v>16.100000000000001</v>
      </c>
      <c r="L792" s="245">
        <v>17.8</v>
      </c>
      <c r="M792" s="245">
        <v>16.7</v>
      </c>
      <c r="N792" s="245">
        <v>12.5</v>
      </c>
      <c r="O792" s="245">
        <v>7</v>
      </c>
      <c r="P792" s="245">
        <v>1.7</v>
      </c>
      <c r="Q792" s="245">
        <v>-2.7</v>
      </c>
      <c r="R792" s="246">
        <v>6.5</v>
      </c>
      <c r="S792" s="233">
        <v>474</v>
      </c>
      <c r="T792" s="247" t="s">
        <v>1387</v>
      </c>
      <c r="U792" s="245">
        <v>-31</v>
      </c>
      <c r="V792" s="245">
        <v>-26</v>
      </c>
      <c r="W792" s="245">
        <v>-25</v>
      </c>
      <c r="X792" s="245">
        <v>-22</v>
      </c>
      <c r="Y792" s="245">
        <v>-9</v>
      </c>
      <c r="Z792" s="245">
        <v>-36</v>
      </c>
      <c r="AA792" s="245">
        <v>5.7</v>
      </c>
      <c r="AB792" s="245">
        <v>113</v>
      </c>
      <c r="AC792" s="245">
        <v>-3.5</v>
      </c>
      <c r="AD792" s="245">
        <v>194</v>
      </c>
      <c r="AE792" s="245">
        <v>-0.5</v>
      </c>
      <c r="AF792" s="245">
        <v>213</v>
      </c>
      <c r="AG792" s="245">
        <v>0.4</v>
      </c>
      <c r="AH792" s="245">
        <v>87</v>
      </c>
      <c r="AI792" s="245">
        <v>83</v>
      </c>
      <c r="AJ792" s="245">
        <v>186</v>
      </c>
      <c r="AK792" s="245" t="s">
        <v>950</v>
      </c>
      <c r="AL792" s="245">
        <v>5.6</v>
      </c>
      <c r="AM792" s="246">
        <v>4.0999999999999996</v>
      </c>
      <c r="AN792" s="235">
        <v>474</v>
      </c>
      <c r="AO792" s="247" t="s">
        <v>1388</v>
      </c>
      <c r="AP792" s="247">
        <v>1000</v>
      </c>
      <c r="AQ792" s="247">
        <v>22</v>
      </c>
      <c r="AR792" s="247">
        <v>26.5</v>
      </c>
      <c r="AS792" s="247">
        <v>24</v>
      </c>
      <c r="AT792" s="247">
        <v>36</v>
      </c>
      <c r="AU792" s="247">
        <v>10.6</v>
      </c>
      <c r="AV792" s="247">
        <v>73</v>
      </c>
      <c r="AW792" s="247">
        <v>57</v>
      </c>
      <c r="AX792" s="247">
        <v>410</v>
      </c>
      <c r="AY792" s="247">
        <v>110</v>
      </c>
      <c r="AZ792" s="247" t="s">
        <v>952</v>
      </c>
      <c r="BA792" s="248">
        <v>0</v>
      </c>
      <c r="BB792" s="235"/>
      <c r="BC792" s="247" t="s">
        <v>1387</v>
      </c>
      <c r="BD792" s="247"/>
      <c r="BE792" s="247"/>
      <c r="BF792" s="247"/>
      <c r="BG792" s="247"/>
      <c r="BH792" s="247"/>
      <c r="BI792" s="247"/>
      <c r="BJ792" s="247"/>
      <c r="BK792" s="247"/>
      <c r="BL792" s="247"/>
      <c r="BM792" s="247"/>
      <c r="BN792" s="247"/>
      <c r="BO792" s="247"/>
      <c r="BP792" s="248"/>
    </row>
    <row r="793" spans="1:68" ht="14.25" customHeight="1">
      <c r="A793" s="233">
        <v>136</v>
      </c>
      <c r="B793" s="234">
        <v>375</v>
      </c>
      <c r="C793" s="244" t="s">
        <v>928</v>
      </c>
      <c r="D793" s="244" t="s">
        <v>1389</v>
      </c>
      <c r="E793" s="244" t="s">
        <v>1390</v>
      </c>
      <c r="F793" s="245">
        <v>-3.8</v>
      </c>
      <c r="G793" s="245">
        <v>-2</v>
      </c>
      <c r="H793" s="245">
        <v>2.8</v>
      </c>
      <c r="I793" s="245">
        <v>10.3</v>
      </c>
      <c r="J793" s="245">
        <v>16.899999999999999</v>
      </c>
      <c r="K793" s="245">
        <v>21.2</v>
      </c>
      <c r="L793" s="245">
        <v>23.9</v>
      </c>
      <c r="M793" s="245">
        <v>23.2</v>
      </c>
      <c r="N793" s="245">
        <v>17.8</v>
      </c>
      <c r="O793" s="245">
        <v>10.4</v>
      </c>
      <c r="P793" s="245">
        <v>4.5</v>
      </c>
      <c r="Q793" s="245">
        <v>-0.7</v>
      </c>
      <c r="R793" s="246">
        <v>10.4</v>
      </c>
      <c r="S793" s="233">
        <v>375</v>
      </c>
      <c r="T793" s="247" t="s">
        <v>1391</v>
      </c>
      <c r="U793" s="245">
        <v>-23</v>
      </c>
      <c r="V793" s="245">
        <v>-22</v>
      </c>
      <c r="W793" s="245">
        <v>-20</v>
      </c>
      <c r="X793" s="245">
        <v>-18</v>
      </c>
      <c r="Y793" s="245">
        <v>-9</v>
      </c>
      <c r="Z793" s="245">
        <v>-32</v>
      </c>
      <c r="AA793" s="245">
        <v>7.1</v>
      </c>
      <c r="AB793" s="245">
        <v>77</v>
      </c>
      <c r="AC793" s="245">
        <v>-2.2000000000000002</v>
      </c>
      <c r="AD793" s="245">
        <v>160</v>
      </c>
      <c r="AE793" s="245">
        <v>0.9</v>
      </c>
      <c r="AF793" s="245">
        <v>178</v>
      </c>
      <c r="AG793" s="245">
        <v>1.7</v>
      </c>
      <c r="AH793" s="245">
        <v>89</v>
      </c>
      <c r="AI793" s="245">
        <v>81</v>
      </c>
      <c r="AJ793" s="245">
        <v>128</v>
      </c>
      <c r="AK793" s="245" t="s">
        <v>944</v>
      </c>
      <c r="AL793" s="245">
        <v>3.5</v>
      </c>
      <c r="AM793" s="246">
        <v>2</v>
      </c>
      <c r="AN793" s="235">
        <v>375</v>
      </c>
      <c r="AO793" s="247" t="s">
        <v>1392</v>
      </c>
      <c r="AP793" s="247">
        <v>995</v>
      </c>
      <c r="AQ793" s="247">
        <v>29</v>
      </c>
      <c r="AR793" s="247">
        <v>31.9</v>
      </c>
      <c r="AS793" s="247">
        <v>30.7</v>
      </c>
      <c r="AT793" s="247">
        <v>41</v>
      </c>
      <c r="AU793" s="247">
        <v>12.7</v>
      </c>
      <c r="AV793" s="247">
        <v>66</v>
      </c>
      <c r="AW793" s="247">
        <v>44</v>
      </c>
      <c r="AX793" s="247">
        <v>367</v>
      </c>
      <c r="AY793" s="247">
        <v>90</v>
      </c>
      <c r="AZ793" s="247" t="s">
        <v>1038</v>
      </c>
      <c r="BA793" s="248">
        <v>0</v>
      </c>
      <c r="BB793" s="235">
        <v>340</v>
      </c>
      <c r="BC793" s="247" t="s">
        <v>1390</v>
      </c>
      <c r="BD793" s="247">
        <v>4.5</v>
      </c>
      <c r="BE793" s="247">
        <v>4.9000000000000004</v>
      </c>
      <c r="BF793" s="247">
        <v>6.2</v>
      </c>
      <c r="BG793" s="247">
        <v>9.1</v>
      </c>
      <c r="BH793" s="247">
        <v>13.3</v>
      </c>
      <c r="BI793" s="247">
        <v>16.5</v>
      </c>
      <c r="BJ793" s="247">
        <v>18.7</v>
      </c>
      <c r="BK793" s="247">
        <v>18.5</v>
      </c>
      <c r="BL793" s="247">
        <v>14.8</v>
      </c>
      <c r="BM793" s="247">
        <v>10.5</v>
      </c>
      <c r="BN793" s="247">
        <v>7.7</v>
      </c>
      <c r="BO793" s="247">
        <v>5.5</v>
      </c>
      <c r="BP793" s="248">
        <v>10.9</v>
      </c>
    </row>
    <row r="794" spans="1:68" ht="14.25" customHeight="1">
      <c r="A794" s="233">
        <v>137</v>
      </c>
      <c r="B794" s="234">
        <v>352</v>
      </c>
      <c r="C794" s="244" t="s">
        <v>928</v>
      </c>
      <c r="D794" s="244" t="s">
        <v>1081</v>
      </c>
      <c r="E794" s="244" t="s">
        <v>1393</v>
      </c>
      <c r="F794" s="245">
        <v>-14.8</v>
      </c>
      <c r="G794" s="245">
        <v>-11.9</v>
      </c>
      <c r="H794" s="245">
        <v>-6</v>
      </c>
      <c r="I794" s="245">
        <v>0.4</v>
      </c>
      <c r="J794" s="245">
        <v>4.3</v>
      </c>
      <c r="K794" s="245">
        <v>8.4</v>
      </c>
      <c r="L794" s="245">
        <v>13</v>
      </c>
      <c r="M794" s="245">
        <v>15.9</v>
      </c>
      <c r="N794" s="245">
        <v>13.1</v>
      </c>
      <c r="O794" s="245">
        <v>5.9</v>
      </c>
      <c r="P794" s="245">
        <v>-4</v>
      </c>
      <c r="Q794" s="245">
        <v>-11.8</v>
      </c>
      <c r="R794" s="246">
        <v>1</v>
      </c>
      <c r="S794" s="233">
        <v>352</v>
      </c>
      <c r="T794" s="247" t="s">
        <v>1394</v>
      </c>
      <c r="U794" s="245">
        <v>-26</v>
      </c>
      <c r="V794" s="245">
        <v>-25</v>
      </c>
      <c r="W794" s="245">
        <v>-23</v>
      </c>
      <c r="X794" s="245">
        <v>-22</v>
      </c>
      <c r="Y794" s="245">
        <v>-20</v>
      </c>
      <c r="Z794" s="245">
        <v>-36</v>
      </c>
      <c r="AA794" s="245">
        <v>8.6999999999999993</v>
      </c>
      <c r="AB794" s="245">
        <v>161</v>
      </c>
      <c r="AC794" s="245">
        <v>-8.8000000000000007</v>
      </c>
      <c r="AD794" s="245">
        <v>248</v>
      </c>
      <c r="AE794" s="245">
        <v>-4.3</v>
      </c>
      <c r="AF794" s="245">
        <v>270</v>
      </c>
      <c r="AG794" s="245">
        <v>-3.2</v>
      </c>
      <c r="AH794" s="245">
        <v>54</v>
      </c>
      <c r="AI794" s="245">
        <v>47</v>
      </c>
      <c r="AJ794" s="245" t="s">
        <v>1018</v>
      </c>
      <c r="AK794" s="245" t="s">
        <v>944</v>
      </c>
      <c r="AL794" s="245" t="s">
        <v>931</v>
      </c>
      <c r="AM794" s="246" t="s">
        <v>931</v>
      </c>
      <c r="AN794" s="235">
        <v>352</v>
      </c>
      <c r="AO794" s="247" t="s">
        <v>1395</v>
      </c>
      <c r="AP794" s="247">
        <v>1005</v>
      </c>
      <c r="AQ794" s="247">
        <v>16.8</v>
      </c>
      <c r="AR794" s="247">
        <v>21.2</v>
      </c>
      <c r="AS794" s="247">
        <v>19.2</v>
      </c>
      <c r="AT794" s="247">
        <v>36</v>
      </c>
      <c r="AU794" s="247">
        <v>6.2</v>
      </c>
      <c r="AV794" s="247">
        <v>94</v>
      </c>
      <c r="AW794" s="247">
        <v>86</v>
      </c>
      <c r="AX794" s="247">
        <v>601</v>
      </c>
      <c r="AY794" s="247" t="s">
        <v>965</v>
      </c>
      <c r="AZ794" s="247" t="s">
        <v>978</v>
      </c>
      <c r="BA794" s="248" t="s">
        <v>934</v>
      </c>
      <c r="BB794" s="235">
        <v>317</v>
      </c>
      <c r="BC794" s="247" t="s">
        <v>1393</v>
      </c>
      <c r="BD794" s="247">
        <v>1.2</v>
      </c>
      <c r="BE794" s="247">
        <v>1.7</v>
      </c>
      <c r="BF794" s="247">
        <v>2.9</v>
      </c>
      <c r="BG794" s="247">
        <v>4.8</v>
      </c>
      <c r="BH794" s="247">
        <v>7</v>
      </c>
      <c r="BI794" s="247">
        <v>10.199999999999999</v>
      </c>
      <c r="BJ794" s="247">
        <v>14.4</v>
      </c>
      <c r="BK794" s="247">
        <v>16.5</v>
      </c>
      <c r="BL794" s="247">
        <v>12.4</v>
      </c>
      <c r="BM794" s="247">
        <v>6.5</v>
      </c>
      <c r="BN794" s="247">
        <v>2.8</v>
      </c>
      <c r="BO794" s="247">
        <v>1.5</v>
      </c>
      <c r="BP794" s="248">
        <v>6.8</v>
      </c>
    </row>
    <row r="795" spans="1:68" ht="14.25" customHeight="1">
      <c r="A795" s="233">
        <v>138</v>
      </c>
      <c r="B795" s="234">
        <v>491</v>
      </c>
      <c r="C795" s="244" t="s">
        <v>1396</v>
      </c>
      <c r="D795" s="244" t="s">
        <v>1396</v>
      </c>
      <c r="E795" s="244" t="s">
        <v>1397</v>
      </c>
      <c r="F795" s="245">
        <v>6.1</v>
      </c>
      <c r="G795" s="245">
        <v>6.8</v>
      </c>
      <c r="H795" s="245">
        <v>8.8000000000000007</v>
      </c>
      <c r="I795" s="245">
        <v>12.9</v>
      </c>
      <c r="J795" s="245">
        <v>16.7</v>
      </c>
      <c r="K795" s="245">
        <v>20.5</v>
      </c>
      <c r="L795" s="245">
        <v>23</v>
      </c>
      <c r="M795" s="245">
        <v>23.1</v>
      </c>
      <c r="N795" s="245">
        <v>20</v>
      </c>
      <c r="O795" s="245">
        <v>15.6</v>
      </c>
      <c r="P795" s="245">
        <v>11.8</v>
      </c>
      <c r="Q795" s="245">
        <v>8.1999999999999993</v>
      </c>
      <c r="R795" s="246">
        <v>14.5</v>
      </c>
      <c r="S795" s="233">
        <v>491</v>
      </c>
      <c r="T795" s="247" t="s">
        <v>1398</v>
      </c>
      <c r="U795" s="245">
        <v>-8</v>
      </c>
      <c r="V795" s="245">
        <v>-7</v>
      </c>
      <c r="W795" s="245">
        <v>-6</v>
      </c>
      <c r="X795" s="245">
        <v>-3</v>
      </c>
      <c r="Y795" s="245">
        <v>-2</v>
      </c>
      <c r="Z795" s="245">
        <v>-13</v>
      </c>
      <c r="AA795" s="245">
        <v>6.9</v>
      </c>
      <c r="AB795" s="245">
        <v>0</v>
      </c>
      <c r="AC795" s="245" t="s">
        <v>830</v>
      </c>
      <c r="AD795" s="245">
        <v>77</v>
      </c>
      <c r="AE795" s="245">
        <v>6.5</v>
      </c>
      <c r="AF795" s="245">
        <v>114</v>
      </c>
      <c r="AG795" s="245">
        <v>7.4</v>
      </c>
      <c r="AH795" s="245" t="s">
        <v>956</v>
      </c>
      <c r="AI795" s="245">
        <v>66</v>
      </c>
      <c r="AJ795" s="245">
        <v>711</v>
      </c>
      <c r="AK795" s="245" t="s">
        <v>938</v>
      </c>
      <c r="AL795" s="245" t="s">
        <v>931</v>
      </c>
      <c r="AM795" s="246">
        <v>2.9</v>
      </c>
      <c r="AN795" s="235">
        <v>491</v>
      </c>
      <c r="AO795" s="247" t="s">
        <v>1399</v>
      </c>
      <c r="AP795" s="247" t="s">
        <v>965</v>
      </c>
      <c r="AQ795" s="247">
        <v>32</v>
      </c>
      <c r="AR795" s="247">
        <v>26</v>
      </c>
      <c r="AS795" s="247">
        <v>30.4</v>
      </c>
      <c r="AT795" s="247">
        <v>39</v>
      </c>
      <c r="AU795" s="247">
        <v>8.5</v>
      </c>
      <c r="AV795" s="247">
        <v>78</v>
      </c>
      <c r="AW795" s="247">
        <v>67</v>
      </c>
      <c r="AX795" s="247" t="s">
        <v>931</v>
      </c>
      <c r="AY795" s="247">
        <v>168</v>
      </c>
      <c r="AZ795" s="247" t="s">
        <v>940</v>
      </c>
      <c r="BA795" s="248">
        <v>1.1000000000000001</v>
      </c>
      <c r="BB795" s="235"/>
      <c r="BC795" s="247" t="s">
        <v>1398</v>
      </c>
      <c r="BD795" s="247"/>
      <c r="BE795" s="247"/>
      <c r="BF795" s="247"/>
      <c r="BG795" s="247"/>
      <c r="BH795" s="247"/>
      <c r="BI795" s="247"/>
      <c r="BJ795" s="247"/>
      <c r="BK795" s="247"/>
      <c r="BL795" s="247"/>
      <c r="BM795" s="247"/>
      <c r="BN795" s="247"/>
      <c r="BO795" s="247"/>
      <c r="BP795" s="248"/>
    </row>
    <row r="796" spans="1:68" ht="14.25" customHeight="1">
      <c r="A796" s="233">
        <v>139</v>
      </c>
      <c r="B796" s="234">
        <v>590</v>
      </c>
      <c r="C796" s="244" t="s">
        <v>1015</v>
      </c>
      <c r="D796" s="244" t="s">
        <v>1400</v>
      </c>
      <c r="E796" s="244" t="s">
        <v>1401</v>
      </c>
      <c r="F796" s="245">
        <v>2.9</v>
      </c>
      <c r="G796" s="245">
        <v>5.3</v>
      </c>
      <c r="H796" s="245">
        <v>9.8000000000000007</v>
      </c>
      <c r="I796" s="245">
        <v>16.600000000000001</v>
      </c>
      <c r="J796" s="245">
        <v>22.6</v>
      </c>
      <c r="K796" s="245">
        <v>27.7</v>
      </c>
      <c r="L796" s="245">
        <v>29.9</v>
      </c>
      <c r="M796" s="245">
        <v>28.2</v>
      </c>
      <c r="N796" s="245">
        <v>22.9</v>
      </c>
      <c r="O796" s="245">
        <v>16.2</v>
      </c>
      <c r="P796" s="245">
        <v>9.6</v>
      </c>
      <c r="Q796" s="245">
        <v>5</v>
      </c>
      <c r="R796" s="246">
        <v>16.399999999999999</v>
      </c>
      <c r="S796" s="233">
        <v>579</v>
      </c>
      <c r="T796" s="247" t="s">
        <v>1401</v>
      </c>
      <c r="U796" s="245">
        <v>-16</v>
      </c>
      <c r="V796" s="245">
        <v>-14</v>
      </c>
      <c r="W796" s="245">
        <v>-13</v>
      </c>
      <c r="X796" s="245" t="s">
        <v>965</v>
      </c>
      <c r="Y796" s="245">
        <v>-2</v>
      </c>
      <c r="Z796" s="245">
        <v>-23</v>
      </c>
      <c r="AA796" s="245">
        <v>9.4</v>
      </c>
      <c r="AB796" s="245">
        <v>0</v>
      </c>
      <c r="AC796" s="245" t="s">
        <v>830</v>
      </c>
      <c r="AD796" s="245">
        <v>100</v>
      </c>
      <c r="AE796" s="245">
        <v>4.7</v>
      </c>
      <c r="AF796" s="245" t="s">
        <v>933</v>
      </c>
      <c r="AG796" s="245" t="s">
        <v>931</v>
      </c>
      <c r="AH796" s="245" t="s">
        <v>956</v>
      </c>
      <c r="AI796" s="245" t="s">
        <v>956</v>
      </c>
      <c r="AJ796" s="245" t="s">
        <v>1018</v>
      </c>
      <c r="AK796" s="245" t="s">
        <v>931</v>
      </c>
      <c r="AL796" s="245">
        <v>4.7</v>
      </c>
      <c r="AM796" s="246" t="s">
        <v>931</v>
      </c>
      <c r="AN796" s="235">
        <v>580</v>
      </c>
      <c r="AO796" s="247" t="s">
        <v>1402</v>
      </c>
      <c r="AP796" s="247">
        <v>950</v>
      </c>
      <c r="AQ796" s="247">
        <v>35.799999999999997</v>
      </c>
      <c r="AR796" s="247">
        <v>40.1</v>
      </c>
      <c r="AS796" s="247">
        <v>38.1</v>
      </c>
      <c r="AT796" s="247">
        <v>48</v>
      </c>
      <c r="AU796" s="247">
        <v>16.8</v>
      </c>
      <c r="AV796" s="247" t="s">
        <v>958</v>
      </c>
      <c r="AW796" s="247" t="s">
        <v>931</v>
      </c>
      <c r="AX796" s="247" t="s">
        <v>931</v>
      </c>
      <c r="AY796" s="247" t="s">
        <v>965</v>
      </c>
      <c r="AZ796" s="247" t="s">
        <v>933</v>
      </c>
      <c r="BA796" s="248">
        <v>0</v>
      </c>
      <c r="BB796" s="235"/>
      <c r="BC796" s="247" t="s">
        <v>1401</v>
      </c>
      <c r="BD796" s="247"/>
      <c r="BE796" s="247"/>
      <c r="BF796" s="247"/>
      <c r="BG796" s="247"/>
      <c r="BH796" s="247"/>
      <c r="BI796" s="247"/>
      <c r="BJ796" s="247"/>
      <c r="BK796" s="247"/>
      <c r="BL796" s="247"/>
      <c r="BM796" s="247"/>
      <c r="BN796" s="247"/>
      <c r="BO796" s="247"/>
      <c r="BP796" s="248"/>
    </row>
    <row r="797" spans="1:68" ht="14.25" customHeight="1">
      <c r="A797" s="233">
        <v>140</v>
      </c>
      <c r="B797" s="234">
        <v>544</v>
      </c>
      <c r="C797" s="244" t="s">
        <v>1180</v>
      </c>
      <c r="D797" s="244" t="s">
        <v>1403</v>
      </c>
      <c r="E797" s="244" t="s">
        <v>1404</v>
      </c>
      <c r="F797" s="245">
        <v>-7.6</v>
      </c>
      <c r="G797" s="245">
        <v>-4.5</v>
      </c>
      <c r="H797" s="245">
        <v>2.5</v>
      </c>
      <c r="I797" s="245">
        <v>9.5</v>
      </c>
      <c r="J797" s="245">
        <v>13.6</v>
      </c>
      <c r="K797" s="245">
        <v>16.3</v>
      </c>
      <c r="L797" s="245">
        <v>19.2</v>
      </c>
      <c r="M797" s="245">
        <v>19.2</v>
      </c>
      <c r="N797" s="245">
        <v>14.5</v>
      </c>
      <c r="O797" s="245">
        <v>7.9</v>
      </c>
      <c r="P797" s="245">
        <v>1.4</v>
      </c>
      <c r="Q797" s="245">
        <v>-4</v>
      </c>
      <c r="R797" s="246">
        <v>7.3</v>
      </c>
      <c r="S797" s="233">
        <v>544</v>
      </c>
      <c r="T797" s="247" t="s">
        <v>1404</v>
      </c>
      <c r="U797" s="245">
        <v>-24</v>
      </c>
      <c r="V797" s="245">
        <v>-22</v>
      </c>
      <c r="W797" s="245">
        <v>-20</v>
      </c>
      <c r="X797" s="245">
        <v>-20</v>
      </c>
      <c r="Y797" s="245" t="s">
        <v>956</v>
      </c>
      <c r="Z797" s="245" t="s">
        <v>931</v>
      </c>
      <c r="AA797" s="245" t="s">
        <v>956</v>
      </c>
      <c r="AB797" s="245" t="s">
        <v>1018</v>
      </c>
      <c r="AC797" s="245" t="s">
        <v>958</v>
      </c>
      <c r="AD797" s="245" t="s">
        <v>1018</v>
      </c>
      <c r="AE797" s="245" t="s">
        <v>931</v>
      </c>
      <c r="AF797" s="245" t="s">
        <v>933</v>
      </c>
      <c r="AG797" s="245" t="s">
        <v>931</v>
      </c>
      <c r="AH797" s="245" t="s">
        <v>956</v>
      </c>
      <c r="AI797" s="245">
        <v>56</v>
      </c>
      <c r="AJ797" s="245">
        <v>195</v>
      </c>
      <c r="AK797" s="245" t="s">
        <v>931</v>
      </c>
      <c r="AL797" s="245" t="s">
        <v>931</v>
      </c>
      <c r="AM797" s="246" t="s">
        <v>931</v>
      </c>
      <c r="AN797" s="235">
        <v>544</v>
      </c>
      <c r="AO797" s="247" t="s">
        <v>1405</v>
      </c>
      <c r="AP797" s="247" t="s">
        <v>965</v>
      </c>
      <c r="AQ797" s="247" t="s">
        <v>958</v>
      </c>
      <c r="AR797" s="247" t="s">
        <v>931</v>
      </c>
      <c r="AS797" s="247" t="s">
        <v>958</v>
      </c>
      <c r="AT797" s="247">
        <v>37</v>
      </c>
      <c r="AU797" s="247" t="s">
        <v>934</v>
      </c>
      <c r="AV797" s="247">
        <v>55</v>
      </c>
      <c r="AW797" s="247">
        <v>31</v>
      </c>
      <c r="AX797" s="247">
        <v>325</v>
      </c>
      <c r="AY797" s="247">
        <v>70</v>
      </c>
      <c r="AZ797" s="247" t="s">
        <v>933</v>
      </c>
      <c r="BA797" s="248" t="s">
        <v>934</v>
      </c>
      <c r="BB797" s="235"/>
      <c r="BC797" s="247" t="s">
        <v>1404</v>
      </c>
      <c r="BD797" s="247"/>
      <c r="BE797" s="247"/>
      <c r="BF797" s="247"/>
      <c r="BG797" s="247"/>
      <c r="BH797" s="247"/>
      <c r="BI797" s="247"/>
      <c r="BJ797" s="247"/>
      <c r="BK797" s="247"/>
      <c r="BL797" s="247"/>
      <c r="BM797" s="247"/>
      <c r="BN797" s="247"/>
      <c r="BO797" s="247"/>
      <c r="BP797" s="248"/>
    </row>
    <row r="798" spans="1:68" ht="14.25" customHeight="1">
      <c r="A798" s="233">
        <v>141</v>
      </c>
      <c r="B798" s="234">
        <v>260</v>
      </c>
      <c r="C798" s="244" t="s">
        <v>928</v>
      </c>
      <c r="D798" s="244" t="s">
        <v>941</v>
      </c>
      <c r="E798" s="244" t="s">
        <v>1406</v>
      </c>
      <c r="F798" s="245">
        <v>-20.5</v>
      </c>
      <c r="G798" s="245">
        <v>-16.7</v>
      </c>
      <c r="H798" s="245">
        <v>-6.7</v>
      </c>
      <c r="I798" s="245">
        <v>4.5</v>
      </c>
      <c r="J798" s="245">
        <v>12.1</v>
      </c>
      <c r="K798" s="245">
        <v>17.399999999999999</v>
      </c>
      <c r="L798" s="245">
        <v>21.1</v>
      </c>
      <c r="M798" s="245">
        <v>20.2</v>
      </c>
      <c r="N798" s="245">
        <v>13.7</v>
      </c>
      <c r="O798" s="245">
        <v>5.4</v>
      </c>
      <c r="P798" s="245">
        <v>-6.5</v>
      </c>
      <c r="Q798" s="245">
        <v>-17.2</v>
      </c>
      <c r="R798" s="246">
        <v>2.2000000000000002</v>
      </c>
      <c r="S798" s="233">
        <v>260</v>
      </c>
      <c r="T798" s="247" t="s">
        <v>1407</v>
      </c>
      <c r="U798" s="245">
        <v>-36</v>
      </c>
      <c r="V798" s="245">
        <v>-34</v>
      </c>
      <c r="W798" s="245">
        <v>-33</v>
      </c>
      <c r="X798" s="245">
        <v>-31</v>
      </c>
      <c r="Y798" s="245">
        <v>-25</v>
      </c>
      <c r="Z798" s="245">
        <v>-42</v>
      </c>
      <c r="AA798" s="245">
        <v>10.6</v>
      </c>
      <c r="AB798" s="245">
        <v>155</v>
      </c>
      <c r="AC798" s="245">
        <v>-12.6</v>
      </c>
      <c r="AD798" s="245">
        <v>205</v>
      </c>
      <c r="AE798" s="245">
        <v>-8.5</v>
      </c>
      <c r="AF798" s="245">
        <v>220</v>
      </c>
      <c r="AG798" s="245">
        <v>-7.2</v>
      </c>
      <c r="AH798" s="245">
        <v>73</v>
      </c>
      <c r="AI798" s="245">
        <v>66</v>
      </c>
      <c r="AJ798" s="245">
        <v>87</v>
      </c>
      <c r="AK798" s="245" t="s">
        <v>971</v>
      </c>
      <c r="AL798" s="245">
        <v>4.0999999999999996</v>
      </c>
      <c r="AM798" s="246">
        <v>3.5</v>
      </c>
      <c r="AN798" s="235">
        <v>260</v>
      </c>
      <c r="AO798" s="247" t="s">
        <v>1408</v>
      </c>
      <c r="AP798" s="247">
        <v>1000</v>
      </c>
      <c r="AQ798" s="247">
        <v>24.1</v>
      </c>
      <c r="AR798" s="247">
        <v>26.9</v>
      </c>
      <c r="AS798" s="247">
        <v>26.6</v>
      </c>
      <c r="AT798" s="247">
        <v>37</v>
      </c>
      <c r="AU798" s="247">
        <v>10</v>
      </c>
      <c r="AV798" s="247">
        <v>81</v>
      </c>
      <c r="AW798" s="247">
        <v>69</v>
      </c>
      <c r="AX798" s="247">
        <v>557</v>
      </c>
      <c r="AY798" s="247">
        <v>113</v>
      </c>
      <c r="AZ798" s="247" t="s">
        <v>978</v>
      </c>
      <c r="BA798" s="248">
        <v>0</v>
      </c>
      <c r="BB798" s="235">
        <v>231</v>
      </c>
      <c r="BC798" s="247" t="s">
        <v>1406</v>
      </c>
      <c r="BD798" s="247">
        <v>1</v>
      </c>
      <c r="BE798" s="247">
        <v>1.3</v>
      </c>
      <c r="BF798" s="247">
        <v>2.6</v>
      </c>
      <c r="BG798" s="247">
        <v>5.2</v>
      </c>
      <c r="BH798" s="247">
        <v>9</v>
      </c>
      <c r="BI798" s="247">
        <v>15.2</v>
      </c>
      <c r="BJ798" s="247">
        <v>20.399999999999999</v>
      </c>
      <c r="BK798" s="247">
        <v>19.8</v>
      </c>
      <c r="BL798" s="247">
        <v>12.3</v>
      </c>
      <c r="BM798" s="247">
        <v>6.2</v>
      </c>
      <c r="BN798" s="247">
        <v>2.9</v>
      </c>
      <c r="BO798" s="247">
        <v>1.3</v>
      </c>
      <c r="BP798" s="248">
        <v>8.1</v>
      </c>
    </row>
    <row r="799" spans="1:68" ht="14.25" customHeight="1">
      <c r="A799" s="233">
        <v>142</v>
      </c>
      <c r="B799" s="234">
        <v>21</v>
      </c>
      <c r="C799" s="244" t="s">
        <v>928</v>
      </c>
      <c r="D799" s="244" t="s">
        <v>1046</v>
      </c>
      <c r="E799" s="244" t="s">
        <v>1409</v>
      </c>
      <c r="F799" s="245">
        <v>-31.1</v>
      </c>
      <c r="G799" s="245">
        <v>-24.9</v>
      </c>
      <c r="H799" s="245">
        <v>-15.1</v>
      </c>
      <c r="I799" s="245">
        <v>-1.9</v>
      </c>
      <c r="J799" s="245">
        <v>7.5</v>
      </c>
      <c r="K799" s="245">
        <v>14.4</v>
      </c>
      <c r="L799" s="245">
        <v>17.899999999999999</v>
      </c>
      <c r="M799" s="245">
        <v>15.3</v>
      </c>
      <c r="N799" s="245">
        <v>8.1999999999999993</v>
      </c>
      <c r="O799" s="245">
        <v>-3.3</v>
      </c>
      <c r="P799" s="245">
        <v>-18.8</v>
      </c>
      <c r="Q799" s="245">
        <v>-28.9</v>
      </c>
      <c r="R799" s="246">
        <v>-5.0999999999999996</v>
      </c>
      <c r="S799" s="233">
        <v>21</v>
      </c>
      <c r="T799" s="247" t="s">
        <v>1410</v>
      </c>
      <c r="U799" s="245">
        <v>-47</v>
      </c>
      <c r="V799" s="245">
        <v>-46</v>
      </c>
      <c r="W799" s="245">
        <v>-46</v>
      </c>
      <c r="X799" s="245">
        <v>-43</v>
      </c>
      <c r="Y799" s="245">
        <v>-36</v>
      </c>
      <c r="Z799" s="245">
        <v>-54</v>
      </c>
      <c r="AA799" s="245">
        <v>13.6</v>
      </c>
      <c r="AB799" s="245">
        <v>196</v>
      </c>
      <c r="AC799" s="245">
        <v>-18.8</v>
      </c>
      <c r="AD799" s="245">
        <v>244</v>
      </c>
      <c r="AE799" s="245">
        <v>-14.3</v>
      </c>
      <c r="AF799" s="245">
        <v>261</v>
      </c>
      <c r="AG799" s="245">
        <v>-12.8</v>
      </c>
      <c r="AH799" s="245">
        <v>66</v>
      </c>
      <c r="AI799" s="245">
        <v>59</v>
      </c>
      <c r="AJ799" s="245">
        <v>57</v>
      </c>
      <c r="AK799" s="245" t="s">
        <v>944</v>
      </c>
      <c r="AL799" s="245">
        <v>5.2</v>
      </c>
      <c r="AM799" s="246">
        <v>1.7</v>
      </c>
      <c r="AN799" s="235">
        <v>21</v>
      </c>
      <c r="AO799" s="247" t="s">
        <v>1411</v>
      </c>
      <c r="AP799" s="247">
        <v>975</v>
      </c>
      <c r="AQ799" s="247">
        <v>22.4</v>
      </c>
      <c r="AR799" s="247">
        <v>26.6</v>
      </c>
      <c r="AS799" s="247">
        <v>24.8</v>
      </c>
      <c r="AT799" s="247">
        <v>37</v>
      </c>
      <c r="AU799" s="247">
        <v>13.8</v>
      </c>
      <c r="AV799" s="247">
        <v>77</v>
      </c>
      <c r="AW799" s="247">
        <v>61</v>
      </c>
      <c r="AX799" s="247">
        <v>482</v>
      </c>
      <c r="AY799" s="247">
        <v>90</v>
      </c>
      <c r="AZ799" s="247" t="s">
        <v>959</v>
      </c>
      <c r="BA799" s="248">
        <v>0</v>
      </c>
      <c r="BB799" s="235"/>
      <c r="BC799" s="247" t="s">
        <v>1409</v>
      </c>
      <c r="BD799" s="247"/>
      <c r="BE799" s="247"/>
      <c r="BF799" s="247"/>
      <c r="BG799" s="247"/>
      <c r="BH799" s="247"/>
      <c r="BI799" s="247"/>
      <c r="BJ799" s="247"/>
      <c r="BK799" s="247"/>
      <c r="BL799" s="247"/>
      <c r="BM799" s="247"/>
      <c r="BN799" s="247"/>
      <c r="BO799" s="247"/>
      <c r="BP799" s="248"/>
    </row>
    <row r="800" spans="1:68" ht="14.25" customHeight="1">
      <c r="A800" s="233">
        <v>143</v>
      </c>
      <c r="B800" s="234">
        <v>380</v>
      </c>
      <c r="C800" s="244" t="s">
        <v>928</v>
      </c>
      <c r="D800" s="244" t="s">
        <v>947</v>
      </c>
      <c r="E800" s="244" t="s">
        <v>1412</v>
      </c>
      <c r="F800" s="245">
        <v>-22</v>
      </c>
      <c r="G800" s="245">
        <v>-19.600000000000001</v>
      </c>
      <c r="H800" s="245">
        <v>-10.4</v>
      </c>
      <c r="I800" s="245">
        <v>-0.4</v>
      </c>
      <c r="J800" s="245">
        <v>8</v>
      </c>
      <c r="K800" s="245">
        <v>14.4</v>
      </c>
      <c r="L800" s="245">
        <v>16.899999999999999</v>
      </c>
      <c r="M800" s="245">
        <v>14.2</v>
      </c>
      <c r="N800" s="245">
        <v>7</v>
      </c>
      <c r="O800" s="245">
        <v>-1.4</v>
      </c>
      <c r="P800" s="245">
        <v>-12.6</v>
      </c>
      <c r="Q800" s="245">
        <v>-19.899999999999999</v>
      </c>
      <c r="R800" s="246">
        <v>-2.2000000000000002</v>
      </c>
      <c r="S800" s="233">
        <v>380</v>
      </c>
      <c r="T800" s="247" t="s">
        <v>1413</v>
      </c>
      <c r="U800" s="245">
        <v>-40</v>
      </c>
      <c r="V800" s="245">
        <v>-37</v>
      </c>
      <c r="W800" s="245">
        <v>-38</v>
      </c>
      <c r="X800" s="245">
        <v>-34</v>
      </c>
      <c r="Y800" s="245">
        <v>-27</v>
      </c>
      <c r="Z800" s="245">
        <v>-48</v>
      </c>
      <c r="AA800" s="245">
        <v>13.9</v>
      </c>
      <c r="AB800" s="245">
        <v>188</v>
      </c>
      <c r="AC800" s="245">
        <v>-13.7</v>
      </c>
      <c r="AD800" s="245">
        <v>247</v>
      </c>
      <c r="AE800" s="245">
        <v>-9.5</v>
      </c>
      <c r="AF800" s="245">
        <v>265</v>
      </c>
      <c r="AG800" s="245">
        <v>-8.1999999999999993</v>
      </c>
      <c r="AH800" s="245">
        <v>72</v>
      </c>
      <c r="AI800" s="245">
        <v>64</v>
      </c>
      <c r="AJ800" s="245">
        <v>28</v>
      </c>
      <c r="AK800" s="245" t="s">
        <v>944</v>
      </c>
      <c r="AL800" s="245" t="s">
        <v>931</v>
      </c>
      <c r="AM800" s="246">
        <v>2</v>
      </c>
      <c r="AN800" s="235">
        <v>380</v>
      </c>
      <c r="AO800" s="247" t="s">
        <v>1414</v>
      </c>
      <c r="AP800" s="247">
        <v>920</v>
      </c>
      <c r="AQ800" s="247">
        <v>22</v>
      </c>
      <c r="AR800" s="247">
        <v>26.2</v>
      </c>
      <c r="AS800" s="247">
        <v>24.4</v>
      </c>
      <c r="AT800" s="247">
        <v>37</v>
      </c>
      <c r="AU800" s="247">
        <v>14.6</v>
      </c>
      <c r="AV800" s="247">
        <v>74</v>
      </c>
      <c r="AW800" s="247">
        <v>56</v>
      </c>
      <c r="AX800" s="247">
        <v>377</v>
      </c>
      <c r="AY800" s="247" t="s">
        <v>965</v>
      </c>
      <c r="AZ800" s="247" t="s">
        <v>959</v>
      </c>
      <c r="BA800" s="248" t="s">
        <v>934</v>
      </c>
      <c r="BB800" s="235">
        <v>344</v>
      </c>
      <c r="BC800" s="247" t="s">
        <v>1412</v>
      </c>
      <c r="BD800" s="247">
        <v>0.9</v>
      </c>
      <c r="BE800" s="247">
        <v>1</v>
      </c>
      <c r="BF800" s="247">
        <v>1.8</v>
      </c>
      <c r="BG800" s="247">
        <v>3</v>
      </c>
      <c r="BH800" s="247">
        <v>4.9000000000000004</v>
      </c>
      <c r="BI800" s="247">
        <v>9.8000000000000007</v>
      </c>
      <c r="BJ800" s="247">
        <v>13.8</v>
      </c>
      <c r="BK800" s="247">
        <v>12.2</v>
      </c>
      <c r="BL800" s="247">
        <v>6.9</v>
      </c>
      <c r="BM800" s="247">
        <v>3.6</v>
      </c>
      <c r="BN800" s="247">
        <v>1.8</v>
      </c>
      <c r="BO800" s="247">
        <v>1.1000000000000001</v>
      </c>
      <c r="BP800" s="248">
        <v>5.0999999999999996</v>
      </c>
    </row>
    <row r="801" spans="1:68" ht="14.25" customHeight="1">
      <c r="A801" s="233">
        <v>144</v>
      </c>
      <c r="B801" s="234">
        <v>567</v>
      </c>
      <c r="C801" s="249" t="s">
        <v>1074</v>
      </c>
      <c r="D801" s="249" t="s">
        <v>1415</v>
      </c>
      <c r="E801" s="244" t="s">
        <v>1416</v>
      </c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6"/>
      <c r="S801" s="250">
        <v>567</v>
      </c>
      <c r="T801" s="247" t="s">
        <v>1416</v>
      </c>
      <c r="U801" s="245">
        <v>-23</v>
      </c>
      <c r="V801" s="245">
        <v>-19</v>
      </c>
      <c r="W801" s="245">
        <v>-18</v>
      </c>
      <c r="X801" s="245">
        <v>-15</v>
      </c>
      <c r="Y801" s="245">
        <v>-6</v>
      </c>
      <c r="Z801" s="245">
        <v>-31</v>
      </c>
      <c r="AA801" s="245">
        <v>10.199999999999999</v>
      </c>
      <c r="AB801" s="245">
        <v>51</v>
      </c>
      <c r="AC801" s="245">
        <v>-0.6</v>
      </c>
      <c r="AD801" s="245">
        <v>135</v>
      </c>
      <c r="AE801" s="245">
        <v>1.4</v>
      </c>
      <c r="AF801" s="245">
        <v>151</v>
      </c>
      <c r="AG801" s="245">
        <v>2.2000000000000002</v>
      </c>
      <c r="AH801" s="245" t="s">
        <v>956</v>
      </c>
      <c r="AI801" s="245">
        <v>58</v>
      </c>
      <c r="AJ801" s="245">
        <v>81</v>
      </c>
      <c r="AK801" s="245" t="s">
        <v>982</v>
      </c>
      <c r="AL801" s="245">
        <v>4.7</v>
      </c>
      <c r="AM801" s="246" t="s">
        <v>931</v>
      </c>
      <c r="AN801" s="235">
        <v>568</v>
      </c>
      <c r="AO801" s="247" t="s">
        <v>1417</v>
      </c>
      <c r="AP801" s="247">
        <v>1000</v>
      </c>
      <c r="AQ801" s="247">
        <v>38</v>
      </c>
      <c r="AR801" s="247">
        <v>33</v>
      </c>
      <c r="AS801" s="247">
        <v>36.6</v>
      </c>
      <c r="AT801" s="247">
        <v>47</v>
      </c>
      <c r="AU801" s="247">
        <v>16.100000000000001</v>
      </c>
      <c r="AV801" s="247">
        <v>41</v>
      </c>
      <c r="AW801" s="247">
        <v>28</v>
      </c>
      <c r="AX801" s="247">
        <v>60</v>
      </c>
      <c r="AY801" s="247">
        <v>60</v>
      </c>
      <c r="AZ801" s="247" t="s">
        <v>1005</v>
      </c>
      <c r="BA801" s="248">
        <v>1.9</v>
      </c>
      <c r="BB801" s="235"/>
      <c r="BC801" s="247" t="s">
        <v>1416</v>
      </c>
      <c r="BD801" s="247"/>
      <c r="BE801" s="247"/>
      <c r="BF801" s="247"/>
      <c r="BG801" s="247"/>
      <c r="BH801" s="247"/>
      <c r="BI801" s="247"/>
      <c r="BJ801" s="247"/>
      <c r="BK801" s="247"/>
      <c r="BL801" s="247"/>
      <c r="BM801" s="247"/>
      <c r="BN801" s="247"/>
      <c r="BO801" s="247"/>
      <c r="BP801" s="248"/>
    </row>
    <row r="802" spans="1:68" ht="14.25" customHeight="1">
      <c r="A802" s="233">
        <v>145</v>
      </c>
      <c r="B802" s="234">
        <v>353</v>
      </c>
      <c r="C802" s="244" t="s">
        <v>928</v>
      </c>
      <c r="D802" s="244" t="s">
        <v>1081</v>
      </c>
      <c r="E802" s="244" t="s">
        <v>1418</v>
      </c>
      <c r="F802" s="245">
        <v>-19.399999999999999</v>
      </c>
      <c r="G802" s="245">
        <v>-15.8</v>
      </c>
      <c r="H802" s="245">
        <v>-9.3000000000000007</v>
      </c>
      <c r="I802" s="245">
        <v>-1.5</v>
      </c>
      <c r="J802" s="245">
        <v>3.2</v>
      </c>
      <c r="K802" s="245">
        <v>8.5</v>
      </c>
      <c r="L802" s="245">
        <v>13.2</v>
      </c>
      <c r="M802" s="245">
        <v>15.3</v>
      </c>
      <c r="N802" s="245">
        <v>12</v>
      </c>
      <c r="O802" s="245">
        <v>3.2</v>
      </c>
      <c r="P802" s="245">
        <v>-8.1</v>
      </c>
      <c r="Q802" s="245">
        <v>-16.2</v>
      </c>
      <c r="R802" s="246">
        <v>-1.2</v>
      </c>
      <c r="S802" s="233">
        <v>353</v>
      </c>
      <c r="T802" s="247" t="s">
        <v>1419</v>
      </c>
      <c r="U802" s="245">
        <v>-30</v>
      </c>
      <c r="V802" s="245">
        <v>-29</v>
      </c>
      <c r="W802" s="245">
        <v>-28</v>
      </c>
      <c r="X802" s="245">
        <v>-27</v>
      </c>
      <c r="Y802" s="245">
        <v>-24</v>
      </c>
      <c r="Z802" s="245">
        <v>-39</v>
      </c>
      <c r="AA802" s="245">
        <v>7.8</v>
      </c>
      <c r="AB802" s="245">
        <v>183</v>
      </c>
      <c r="AC802" s="245">
        <v>-11.4</v>
      </c>
      <c r="AD802" s="245">
        <v>256</v>
      </c>
      <c r="AE802" s="245">
        <v>-6.9</v>
      </c>
      <c r="AF802" s="245">
        <v>276</v>
      </c>
      <c r="AG802" s="245">
        <v>-5.8</v>
      </c>
      <c r="AH802" s="245">
        <v>68</v>
      </c>
      <c r="AI802" s="245">
        <v>61</v>
      </c>
      <c r="AJ802" s="245">
        <v>131</v>
      </c>
      <c r="AK802" s="245" t="s">
        <v>944</v>
      </c>
      <c r="AL802" s="245" t="s">
        <v>931</v>
      </c>
      <c r="AM802" s="246" t="s">
        <v>931</v>
      </c>
      <c r="AN802" s="235">
        <v>353</v>
      </c>
      <c r="AO802" s="247" t="s">
        <v>1420</v>
      </c>
      <c r="AP802" s="247">
        <v>1005</v>
      </c>
      <c r="AQ802" s="247">
        <v>17.100000000000001</v>
      </c>
      <c r="AR802" s="247">
        <v>21.5</v>
      </c>
      <c r="AS802" s="247">
        <v>19.5</v>
      </c>
      <c r="AT802" s="247">
        <v>30</v>
      </c>
      <c r="AU802" s="247">
        <v>7.5</v>
      </c>
      <c r="AV802" s="247">
        <v>89</v>
      </c>
      <c r="AW802" s="247">
        <v>79</v>
      </c>
      <c r="AX802" s="247">
        <v>608</v>
      </c>
      <c r="AY802" s="247">
        <v>90</v>
      </c>
      <c r="AZ802" s="247" t="s">
        <v>1038</v>
      </c>
      <c r="BA802" s="248" t="s">
        <v>934</v>
      </c>
      <c r="BB802" s="235">
        <v>318</v>
      </c>
      <c r="BC802" s="247" t="s">
        <v>1418</v>
      </c>
      <c r="BD802" s="247">
        <v>1</v>
      </c>
      <c r="BE802" s="247">
        <v>1.3</v>
      </c>
      <c r="BF802" s="247">
        <v>2.2999999999999998</v>
      </c>
      <c r="BG802" s="247">
        <v>4.2</v>
      </c>
      <c r="BH802" s="247">
        <v>6.4</v>
      </c>
      <c r="BI802" s="247">
        <v>9.6999999999999993</v>
      </c>
      <c r="BJ802" s="247">
        <v>13.6</v>
      </c>
      <c r="BK802" s="247">
        <v>15.4</v>
      </c>
      <c r="BL802" s="247">
        <v>11.4</v>
      </c>
      <c r="BM802" s="247">
        <v>5.7</v>
      </c>
      <c r="BN802" s="247">
        <v>2.6</v>
      </c>
      <c r="BO802" s="247">
        <v>1.5</v>
      </c>
      <c r="BP802" s="248">
        <v>6.3</v>
      </c>
    </row>
    <row r="803" spans="1:68" ht="14.25" customHeight="1">
      <c r="A803" s="233">
        <v>146</v>
      </c>
      <c r="B803" s="234">
        <v>325</v>
      </c>
      <c r="C803" s="244" t="s">
        <v>928</v>
      </c>
      <c r="D803" s="244" t="s">
        <v>1161</v>
      </c>
      <c r="E803" s="244" t="s">
        <v>1421</v>
      </c>
      <c r="F803" s="245">
        <v>-19.2</v>
      </c>
      <c r="G803" s="245">
        <v>-16.899999999999999</v>
      </c>
      <c r="H803" s="245">
        <v>-9.4</v>
      </c>
      <c r="I803" s="245">
        <v>0.7</v>
      </c>
      <c r="J803" s="245">
        <v>7.7</v>
      </c>
      <c r="K803" s="245">
        <v>14.7</v>
      </c>
      <c r="L803" s="245">
        <v>17.600000000000001</v>
      </c>
      <c r="M803" s="245">
        <v>14.5</v>
      </c>
      <c r="N803" s="245">
        <v>8.9</v>
      </c>
      <c r="O803" s="245">
        <v>0.2</v>
      </c>
      <c r="P803" s="245">
        <v>-9.8000000000000007</v>
      </c>
      <c r="Q803" s="245">
        <v>-17</v>
      </c>
      <c r="R803" s="246">
        <v>-0.7</v>
      </c>
      <c r="S803" s="233">
        <v>325</v>
      </c>
      <c r="T803" s="247" t="s">
        <v>1422</v>
      </c>
      <c r="U803" s="245">
        <v>-47</v>
      </c>
      <c r="V803" s="245">
        <v>-45</v>
      </c>
      <c r="W803" s="245">
        <v>-44</v>
      </c>
      <c r="X803" s="245">
        <v>-40</v>
      </c>
      <c r="Y803" s="245">
        <v>-24</v>
      </c>
      <c r="Z803" s="245">
        <v>-51</v>
      </c>
      <c r="AA803" s="245">
        <v>8.4</v>
      </c>
      <c r="AB803" s="245">
        <v>179</v>
      </c>
      <c r="AC803" s="245">
        <v>-12.1</v>
      </c>
      <c r="AD803" s="245">
        <v>241</v>
      </c>
      <c r="AE803" s="245">
        <v>-8</v>
      </c>
      <c r="AF803" s="245">
        <v>258</v>
      </c>
      <c r="AG803" s="245">
        <v>-6.8</v>
      </c>
      <c r="AH803" s="245">
        <v>81</v>
      </c>
      <c r="AI803" s="245">
        <v>80</v>
      </c>
      <c r="AJ803" s="245">
        <v>115</v>
      </c>
      <c r="AK803" s="245" t="s">
        <v>963</v>
      </c>
      <c r="AL803" s="245">
        <v>4.5999999999999996</v>
      </c>
      <c r="AM803" s="246" t="s">
        <v>931</v>
      </c>
      <c r="AN803" s="235">
        <v>325</v>
      </c>
      <c r="AO803" s="247" t="s">
        <v>1423</v>
      </c>
      <c r="AP803" s="247">
        <v>1000</v>
      </c>
      <c r="AQ803" s="247">
        <v>20.2</v>
      </c>
      <c r="AR803" s="247">
        <v>24.5</v>
      </c>
      <c r="AS803" s="247">
        <v>22.6</v>
      </c>
      <c r="AT803" s="247">
        <v>35</v>
      </c>
      <c r="AU803" s="247">
        <v>9.6</v>
      </c>
      <c r="AV803" s="247">
        <v>72</v>
      </c>
      <c r="AW803" s="247">
        <v>59</v>
      </c>
      <c r="AX803" s="247">
        <v>386</v>
      </c>
      <c r="AY803" s="247">
        <v>64</v>
      </c>
      <c r="AZ803" s="247" t="s">
        <v>1005</v>
      </c>
      <c r="BA803" s="248">
        <v>0</v>
      </c>
      <c r="BB803" s="235">
        <v>293</v>
      </c>
      <c r="BC803" s="247" t="s">
        <v>1421</v>
      </c>
      <c r="BD803" s="247">
        <v>1.4</v>
      </c>
      <c r="BE803" s="247">
        <v>1.5</v>
      </c>
      <c r="BF803" s="247">
        <v>2.5</v>
      </c>
      <c r="BG803" s="247">
        <v>4.5999999999999996</v>
      </c>
      <c r="BH803" s="247">
        <v>6.8</v>
      </c>
      <c r="BI803" s="247">
        <v>11</v>
      </c>
      <c r="BJ803" s="247">
        <v>14.5</v>
      </c>
      <c r="BK803" s="247">
        <v>12.8</v>
      </c>
      <c r="BL803" s="247">
        <v>9.1</v>
      </c>
      <c r="BM803" s="247">
        <v>5.2</v>
      </c>
      <c r="BN803" s="247">
        <v>2.9</v>
      </c>
      <c r="BO803" s="247">
        <v>1.8</v>
      </c>
      <c r="BP803" s="248">
        <v>6.2</v>
      </c>
    </row>
    <row r="804" spans="1:68" ht="14.25" customHeight="1">
      <c r="A804" s="233">
        <v>147</v>
      </c>
      <c r="B804" s="234">
        <v>598</v>
      </c>
      <c r="C804" s="244" t="s">
        <v>1015</v>
      </c>
      <c r="D804" s="244" t="s">
        <v>1424</v>
      </c>
      <c r="E804" s="244" t="s">
        <v>1425</v>
      </c>
      <c r="F804" s="245">
        <v>3.6</v>
      </c>
      <c r="G804" s="245">
        <v>6.1</v>
      </c>
      <c r="H804" s="245">
        <v>10.7</v>
      </c>
      <c r="I804" s="245">
        <v>17.100000000000001</v>
      </c>
      <c r="J804" s="245">
        <v>22.3</v>
      </c>
      <c r="K804" s="245">
        <v>27</v>
      </c>
      <c r="L804" s="245">
        <v>28.4</v>
      </c>
      <c r="M804" s="245">
        <v>26.1</v>
      </c>
      <c r="N804" s="245">
        <v>21.3</v>
      </c>
      <c r="O804" s="245">
        <v>15.5</v>
      </c>
      <c r="P804" s="245">
        <v>9.9</v>
      </c>
      <c r="Q804" s="245">
        <v>5.6</v>
      </c>
      <c r="R804" s="246">
        <v>16.2</v>
      </c>
      <c r="S804" s="233">
        <v>587</v>
      </c>
      <c r="T804" s="247" t="s">
        <v>1425</v>
      </c>
      <c r="U804" s="245">
        <v>-14</v>
      </c>
      <c r="V804" s="245">
        <v>-12</v>
      </c>
      <c r="W804" s="245">
        <v>-11</v>
      </c>
      <c r="X804" s="245" t="s">
        <v>965</v>
      </c>
      <c r="Y804" s="245">
        <v>0</v>
      </c>
      <c r="Z804" s="245">
        <v>-21</v>
      </c>
      <c r="AA804" s="245">
        <v>9.3000000000000007</v>
      </c>
      <c r="AB804" s="245">
        <v>0</v>
      </c>
      <c r="AC804" s="245" t="s">
        <v>830</v>
      </c>
      <c r="AD804" s="245">
        <v>89</v>
      </c>
      <c r="AE804" s="245">
        <v>5.0999999999999996</v>
      </c>
      <c r="AF804" s="245" t="s">
        <v>933</v>
      </c>
      <c r="AG804" s="245" t="s">
        <v>931</v>
      </c>
      <c r="AH804" s="245" t="s">
        <v>956</v>
      </c>
      <c r="AI804" s="245" t="s">
        <v>956</v>
      </c>
      <c r="AJ804" s="245" t="s">
        <v>1018</v>
      </c>
      <c r="AK804" s="245" t="s">
        <v>931</v>
      </c>
      <c r="AL804" s="245">
        <v>2.4</v>
      </c>
      <c r="AM804" s="246" t="s">
        <v>931</v>
      </c>
      <c r="AN804" s="235">
        <v>588</v>
      </c>
      <c r="AO804" s="247" t="s">
        <v>1426</v>
      </c>
      <c r="AP804" s="247">
        <v>950</v>
      </c>
      <c r="AQ804" s="247">
        <v>33.700000000000003</v>
      </c>
      <c r="AR804" s="247">
        <v>37.4</v>
      </c>
      <c r="AS804" s="247">
        <v>36.9</v>
      </c>
      <c r="AT804" s="247">
        <v>45</v>
      </c>
      <c r="AU804" s="247">
        <v>16.7</v>
      </c>
      <c r="AV804" s="247" t="s">
        <v>958</v>
      </c>
      <c r="AW804" s="247" t="s">
        <v>931</v>
      </c>
      <c r="AX804" s="247" t="s">
        <v>931</v>
      </c>
      <c r="AY804" s="247" t="s">
        <v>965</v>
      </c>
      <c r="AZ804" s="247" t="s">
        <v>933</v>
      </c>
      <c r="BA804" s="248">
        <v>0</v>
      </c>
      <c r="BB804" s="235"/>
      <c r="BC804" s="247" t="s">
        <v>1425</v>
      </c>
      <c r="BD804" s="247"/>
      <c r="BE804" s="247"/>
      <c r="BF804" s="247"/>
      <c r="BG804" s="247"/>
      <c r="BH804" s="247"/>
      <c r="BI804" s="247"/>
      <c r="BJ804" s="247"/>
      <c r="BK804" s="247"/>
      <c r="BL804" s="247"/>
      <c r="BM804" s="247"/>
      <c r="BN804" s="247"/>
      <c r="BO804" s="247"/>
      <c r="BP804" s="248"/>
    </row>
    <row r="805" spans="1:68" ht="14.25" customHeight="1">
      <c r="A805" s="233">
        <v>148</v>
      </c>
      <c r="B805" s="234">
        <v>78</v>
      </c>
      <c r="C805" s="244" t="s">
        <v>928</v>
      </c>
      <c r="D805" s="244" t="s">
        <v>1427</v>
      </c>
      <c r="E805" s="244" t="s">
        <v>1428</v>
      </c>
      <c r="F805" s="245">
        <v>1.5</v>
      </c>
      <c r="G805" s="245">
        <v>1.7</v>
      </c>
      <c r="H805" s="245">
        <v>4.0999999999999996</v>
      </c>
      <c r="I805" s="245">
        <v>9.4</v>
      </c>
      <c r="J805" s="245">
        <v>16.100000000000001</v>
      </c>
      <c r="K805" s="245">
        <v>21.4</v>
      </c>
      <c r="L805" s="245">
        <v>24.7</v>
      </c>
      <c r="M805" s="245">
        <v>24.5</v>
      </c>
      <c r="N805" s="245">
        <v>20.100000000000001</v>
      </c>
      <c r="O805" s="245">
        <v>14.4</v>
      </c>
      <c r="P805" s="245">
        <v>8.6999999999999993</v>
      </c>
      <c r="Q805" s="245">
        <v>4.3</v>
      </c>
      <c r="R805" s="246">
        <v>12.5</v>
      </c>
      <c r="S805" s="233">
        <v>78</v>
      </c>
      <c r="T805" s="247" t="s">
        <v>1429</v>
      </c>
      <c r="U805" s="245">
        <v>-16</v>
      </c>
      <c r="V805" s="245">
        <v>-13</v>
      </c>
      <c r="W805" s="245">
        <v>-11</v>
      </c>
      <c r="X805" s="245">
        <v>-9</v>
      </c>
      <c r="Y805" s="245">
        <v>-3</v>
      </c>
      <c r="Z805" s="245">
        <v>-19</v>
      </c>
      <c r="AA805" s="245">
        <v>5.2</v>
      </c>
      <c r="AB805" s="245">
        <v>0</v>
      </c>
      <c r="AC805" s="245" t="s">
        <v>830</v>
      </c>
      <c r="AD805" s="245">
        <v>138</v>
      </c>
      <c r="AE805" s="245">
        <v>3.7</v>
      </c>
      <c r="AF805" s="245">
        <v>161</v>
      </c>
      <c r="AG805" s="245">
        <v>4.5</v>
      </c>
      <c r="AH805" s="245">
        <v>84</v>
      </c>
      <c r="AI805" s="245">
        <v>82</v>
      </c>
      <c r="AJ805" s="245">
        <v>179</v>
      </c>
      <c r="AK805" s="245" t="s">
        <v>944</v>
      </c>
      <c r="AL805" s="245">
        <v>5.2</v>
      </c>
      <c r="AM805" s="246">
        <v>3.1</v>
      </c>
      <c r="AN805" s="235">
        <v>78</v>
      </c>
      <c r="AO805" s="247" t="s">
        <v>1430</v>
      </c>
      <c r="AP805" s="247">
        <v>1015</v>
      </c>
      <c r="AQ805" s="247">
        <v>25.8</v>
      </c>
      <c r="AR805" s="247">
        <v>29.8</v>
      </c>
      <c r="AS805" s="247">
        <v>28.2</v>
      </c>
      <c r="AT805" s="247">
        <v>38</v>
      </c>
      <c r="AU805" s="247">
        <v>7.3</v>
      </c>
      <c r="AV805" s="247">
        <v>67</v>
      </c>
      <c r="AW805" s="247">
        <v>65</v>
      </c>
      <c r="AX805" s="247">
        <v>214</v>
      </c>
      <c r="AY805" s="247">
        <v>113</v>
      </c>
      <c r="AZ805" s="247" t="s">
        <v>959</v>
      </c>
      <c r="BA805" s="248">
        <v>0</v>
      </c>
      <c r="BB805" s="235">
        <v>63</v>
      </c>
      <c r="BC805" s="247" t="s">
        <v>1428</v>
      </c>
      <c r="BD805" s="247">
        <v>5.9</v>
      </c>
      <c r="BE805" s="247">
        <v>6</v>
      </c>
      <c r="BF805" s="247">
        <v>6.9</v>
      </c>
      <c r="BG805" s="247">
        <v>9.4</v>
      </c>
      <c r="BH805" s="247">
        <v>13.6</v>
      </c>
      <c r="BI805" s="247">
        <v>17.7</v>
      </c>
      <c r="BJ805" s="247">
        <v>21</v>
      </c>
      <c r="BK805" s="247">
        <v>21.1</v>
      </c>
      <c r="BL805" s="247">
        <v>17.399999999999999</v>
      </c>
      <c r="BM805" s="247">
        <v>12.9</v>
      </c>
      <c r="BN805" s="247">
        <v>9.6</v>
      </c>
      <c r="BO805" s="247">
        <v>7.2</v>
      </c>
      <c r="BP805" s="248">
        <v>12.4</v>
      </c>
    </row>
    <row r="806" spans="1:68" ht="14.25" customHeight="1">
      <c r="A806" s="233">
        <v>149</v>
      </c>
      <c r="B806" s="234">
        <v>410</v>
      </c>
      <c r="C806" s="244" t="s">
        <v>928</v>
      </c>
      <c r="D806" s="244" t="s">
        <v>969</v>
      </c>
      <c r="E806" s="244" t="s">
        <v>1431</v>
      </c>
      <c r="F806" s="245">
        <v>-39.4</v>
      </c>
      <c r="G806" s="245">
        <v>-35.9</v>
      </c>
      <c r="H806" s="245">
        <v>-27.2</v>
      </c>
      <c r="I806" s="245">
        <v>-14.8</v>
      </c>
      <c r="J806" s="245">
        <v>-3</v>
      </c>
      <c r="K806" s="245">
        <v>8.8000000000000007</v>
      </c>
      <c r="L806" s="245">
        <v>13.7</v>
      </c>
      <c r="M806" s="245">
        <v>9.3000000000000007</v>
      </c>
      <c r="N806" s="245">
        <v>1.6</v>
      </c>
      <c r="O806" s="245">
        <v>-12.7</v>
      </c>
      <c r="P806" s="245">
        <v>-31</v>
      </c>
      <c r="Q806" s="245">
        <v>-35.4</v>
      </c>
      <c r="R806" s="246">
        <v>-13.9</v>
      </c>
      <c r="S806" s="233">
        <v>410</v>
      </c>
      <c r="T806" s="247" t="s">
        <v>1431</v>
      </c>
      <c r="U806" s="245">
        <v>-62</v>
      </c>
      <c r="V806" s="245">
        <v>-59</v>
      </c>
      <c r="W806" s="245">
        <v>-60</v>
      </c>
      <c r="X806" s="245">
        <v>-56</v>
      </c>
      <c r="Y806" s="245">
        <v>-44</v>
      </c>
      <c r="Z806" s="245">
        <v>-64</v>
      </c>
      <c r="AA806" s="245">
        <v>9.4</v>
      </c>
      <c r="AB806" s="245">
        <v>247</v>
      </c>
      <c r="AC806" s="245">
        <v>-24.2</v>
      </c>
      <c r="AD806" s="245">
        <v>296</v>
      </c>
      <c r="AE806" s="245">
        <v>-19.5</v>
      </c>
      <c r="AF806" s="245">
        <v>316</v>
      </c>
      <c r="AG806" s="245">
        <v>-17.7</v>
      </c>
      <c r="AH806" s="245">
        <v>74</v>
      </c>
      <c r="AI806" s="245">
        <v>74</v>
      </c>
      <c r="AJ806" s="245">
        <v>53</v>
      </c>
      <c r="AK806" s="245" t="s">
        <v>990</v>
      </c>
      <c r="AL806" s="245" t="s">
        <v>931</v>
      </c>
      <c r="AM806" s="246">
        <v>2.2000000000000002</v>
      </c>
      <c r="AN806" s="235">
        <v>410</v>
      </c>
      <c r="AO806" s="247" t="s">
        <v>1432</v>
      </c>
      <c r="AP806" s="247">
        <v>1000</v>
      </c>
      <c r="AQ806" s="247">
        <v>17.3</v>
      </c>
      <c r="AR806" s="247">
        <v>21.7</v>
      </c>
      <c r="AS806" s="247">
        <v>19.7</v>
      </c>
      <c r="AT806" s="247">
        <v>35</v>
      </c>
      <c r="AU806" s="247">
        <v>12.1</v>
      </c>
      <c r="AV806" s="247">
        <v>67</v>
      </c>
      <c r="AW806" s="247">
        <v>56</v>
      </c>
      <c r="AX806" s="247">
        <v>227</v>
      </c>
      <c r="AY806" s="247">
        <v>48</v>
      </c>
      <c r="AZ806" s="247" t="s">
        <v>959</v>
      </c>
      <c r="BA806" s="248" t="s">
        <v>934</v>
      </c>
      <c r="BB806" s="235">
        <v>374</v>
      </c>
      <c r="BC806" s="247" t="s">
        <v>1431</v>
      </c>
      <c r="BD806" s="247">
        <v>0.3</v>
      </c>
      <c r="BE806" s="247">
        <v>0.3</v>
      </c>
      <c r="BF806" s="247">
        <v>0.7</v>
      </c>
      <c r="BG806" s="247">
        <v>1.6</v>
      </c>
      <c r="BH806" s="247">
        <v>3.5</v>
      </c>
      <c r="BI806" s="247">
        <v>7.4</v>
      </c>
      <c r="BJ806" s="247">
        <v>10.199999999999999</v>
      </c>
      <c r="BK806" s="247">
        <v>8.6999999999999993</v>
      </c>
      <c r="BL806" s="247">
        <v>5.7</v>
      </c>
      <c r="BM806" s="247">
        <v>2.4</v>
      </c>
      <c r="BN806" s="247">
        <v>0.6</v>
      </c>
      <c r="BO806" s="247">
        <v>0.4</v>
      </c>
      <c r="BP806" s="248">
        <v>3.5</v>
      </c>
    </row>
    <row r="807" spans="1:68" ht="14.25" customHeight="1">
      <c r="A807" s="233">
        <v>150</v>
      </c>
      <c r="B807" s="234">
        <v>516</v>
      </c>
      <c r="C807" s="244" t="s">
        <v>960</v>
      </c>
      <c r="D807" s="244" t="s">
        <v>1433</v>
      </c>
      <c r="E807" s="244" t="s">
        <v>1434</v>
      </c>
      <c r="F807" s="245">
        <v>-13.4</v>
      </c>
      <c r="G807" s="245">
        <v>-12.9</v>
      </c>
      <c r="H807" s="245">
        <v>-6.4</v>
      </c>
      <c r="I807" s="245">
        <v>7.4</v>
      </c>
      <c r="J807" s="245">
        <v>15.9</v>
      </c>
      <c r="K807" s="245">
        <v>21.3</v>
      </c>
      <c r="L807" s="245">
        <v>23.7</v>
      </c>
      <c r="M807" s="245">
        <v>21.8</v>
      </c>
      <c r="N807" s="245">
        <v>14.8</v>
      </c>
      <c r="O807" s="245">
        <v>5.6</v>
      </c>
      <c r="P807" s="245">
        <v>-2.5</v>
      </c>
      <c r="Q807" s="245">
        <v>-9</v>
      </c>
      <c r="R807" s="246">
        <v>5.5</v>
      </c>
      <c r="S807" s="233">
        <v>516</v>
      </c>
      <c r="T807" s="247" t="s">
        <v>1434</v>
      </c>
      <c r="U807" s="245">
        <v>-39</v>
      </c>
      <c r="V807" s="245">
        <v>-36</v>
      </c>
      <c r="W807" s="245">
        <v>-33</v>
      </c>
      <c r="X807" s="245">
        <v>-30</v>
      </c>
      <c r="Y807" s="245" t="s">
        <v>956</v>
      </c>
      <c r="Z807" s="245">
        <v>-42</v>
      </c>
      <c r="AA807" s="245">
        <v>8.8000000000000007</v>
      </c>
      <c r="AB807" s="245">
        <v>145</v>
      </c>
      <c r="AC807" s="245">
        <v>-9.1999999999999993</v>
      </c>
      <c r="AD807" s="245">
        <v>192</v>
      </c>
      <c r="AE807" s="245">
        <v>-5.9</v>
      </c>
      <c r="AF807" s="245">
        <v>205</v>
      </c>
      <c r="AG807" s="245">
        <v>-4.9000000000000004</v>
      </c>
      <c r="AH807" s="245">
        <v>82</v>
      </c>
      <c r="AI807" s="245" t="s">
        <v>956</v>
      </c>
      <c r="AJ807" s="245">
        <v>94</v>
      </c>
      <c r="AK807" s="245" t="s">
        <v>990</v>
      </c>
      <c r="AL807" s="245">
        <v>5.5</v>
      </c>
      <c r="AM807" s="246">
        <v>5.0999999999999996</v>
      </c>
      <c r="AN807" s="235">
        <v>516</v>
      </c>
      <c r="AO807" s="247" t="s">
        <v>1435</v>
      </c>
      <c r="AP807" s="247" t="s">
        <v>965</v>
      </c>
      <c r="AQ807" s="247" t="s">
        <v>958</v>
      </c>
      <c r="AR807" s="247" t="s">
        <v>931</v>
      </c>
      <c r="AS807" s="247">
        <v>30.8</v>
      </c>
      <c r="AT807" s="247">
        <v>44</v>
      </c>
      <c r="AU807" s="247">
        <v>15</v>
      </c>
      <c r="AV807" s="247">
        <v>47</v>
      </c>
      <c r="AW807" s="247" t="s">
        <v>931</v>
      </c>
      <c r="AX807" s="247">
        <v>172</v>
      </c>
      <c r="AY807" s="247" t="s">
        <v>965</v>
      </c>
      <c r="AZ807" s="247" t="s">
        <v>959</v>
      </c>
      <c r="BA807" s="248">
        <v>4</v>
      </c>
      <c r="BB807" s="235"/>
      <c r="BC807" s="247" t="s">
        <v>1434</v>
      </c>
      <c r="BD807" s="247"/>
      <c r="BE807" s="247"/>
      <c r="BF807" s="247"/>
      <c r="BG807" s="247"/>
      <c r="BH807" s="247"/>
      <c r="BI807" s="247"/>
      <c r="BJ807" s="247"/>
      <c r="BK807" s="247"/>
      <c r="BL807" s="247"/>
      <c r="BM807" s="247"/>
      <c r="BN807" s="247"/>
      <c r="BO807" s="247"/>
      <c r="BP807" s="248"/>
    </row>
    <row r="808" spans="1:68" ht="14.25" customHeight="1">
      <c r="A808" s="233">
        <v>151</v>
      </c>
      <c r="B808" s="234">
        <v>512</v>
      </c>
      <c r="C808" s="244" t="s">
        <v>960</v>
      </c>
      <c r="D808" s="244" t="s">
        <v>1436</v>
      </c>
      <c r="E808" s="244" t="s">
        <v>1437</v>
      </c>
      <c r="F808" s="245">
        <v>-5</v>
      </c>
      <c r="G808" s="245">
        <v>-3.3</v>
      </c>
      <c r="H808" s="245">
        <v>3.3</v>
      </c>
      <c r="I808" s="245">
        <v>11.3</v>
      </c>
      <c r="J808" s="245">
        <v>16.8</v>
      </c>
      <c r="K808" s="245">
        <v>22.1</v>
      </c>
      <c r="L808" s="245">
        <v>24.9</v>
      </c>
      <c r="M808" s="245">
        <v>22.8</v>
      </c>
      <c r="N808" s="245">
        <v>17.100000000000001</v>
      </c>
      <c r="O808" s="245">
        <v>9.9</v>
      </c>
      <c r="P808" s="245">
        <v>2</v>
      </c>
      <c r="Q808" s="245">
        <v>-3.4</v>
      </c>
      <c r="R808" s="246">
        <v>9.9</v>
      </c>
      <c r="S808" s="233">
        <v>512</v>
      </c>
      <c r="T808" s="247" t="s">
        <v>1437</v>
      </c>
      <c r="U808" s="245">
        <v>-30</v>
      </c>
      <c r="V808" s="245">
        <v>-28</v>
      </c>
      <c r="W808" s="245">
        <v>-27</v>
      </c>
      <c r="X808" s="245">
        <v>-23</v>
      </c>
      <c r="Y808" s="245" t="s">
        <v>956</v>
      </c>
      <c r="Z808" s="245">
        <v>-41</v>
      </c>
      <c r="AA808" s="245">
        <v>10.4</v>
      </c>
      <c r="AB808" s="245">
        <v>100</v>
      </c>
      <c r="AC808" s="245">
        <v>-3.6</v>
      </c>
      <c r="AD808" s="245">
        <v>162</v>
      </c>
      <c r="AE808" s="245">
        <v>-0.7</v>
      </c>
      <c r="AF808" s="245">
        <v>186</v>
      </c>
      <c r="AG808" s="245">
        <v>0.6</v>
      </c>
      <c r="AH808" s="245">
        <v>76</v>
      </c>
      <c r="AI808" s="245" t="s">
        <v>956</v>
      </c>
      <c r="AJ808" s="245">
        <v>162</v>
      </c>
      <c r="AK808" s="245" t="s">
        <v>963</v>
      </c>
      <c r="AL808" s="245">
        <v>4.5</v>
      </c>
      <c r="AM808" s="246">
        <v>3</v>
      </c>
      <c r="AN808" s="235">
        <v>512</v>
      </c>
      <c r="AO808" s="247" t="s">
        <v>1438</v>
      </c>
      <c r="AP808" s="247" t="s">
        <v>965</v>
      </c>
      <c r="AQ808" s="247" t="s">
        <v>958</v>
      </c>
      <c r="AR808" s="247" t="s">
        <v>931</v>
      </c>
      <c r="AS808" s="247">
        <v>31.9</v>
      </c>
      <c r="AT808" s="247">
        <v>44</v>
      </c>
      <c r="AU808" s="247">
        <v>15.8</v>
      </c>
      <c r="AV808" s="247">
        <v>40</v>
      </c>
      <c r="AW808" s="247" t="s">
        <v>931</v>
      </c>
      <c r="AX808" s="247">
        <v>169</v>
      </c>
      <c r="AY808" s="247" t="s">
        <v>965</v>
      </c>
      <c r="AZ808" s="247" t="s">
        <v>1005</v>
      </c>
      <c r="BA808" s="248">
        <v>2.5</v>
      </c>
      <c r="BB808" s="235"/>
      <c r="BC808" s="247" t="s">
        <v>1437</v>
      </c>
      <c r="BD808" s="247"/>
      <c r="BE808" s="247"/>
      <c r="BF808" s="247"/>
      <c r="BG808" s="247"/>
      <c r="BH808" s="247"/>
      <c r="BI808" s="247"/>
      <c r="BJ808" s="247"/>
      <c r="BK808" s="247"/>
      <c r="BL808" s="247"/>
      <c r="BM808" s="247"/>
      <c r="BN808" s="247"/>
      <c r="BO808" s="247"/>
      <c r="BP808" s="248"/>
    </row>
    <row r="809" spans="1:68" ht="14.25" customHeight="1">
      <c r="A809" s="233">
        <v>152</v>
      </c>
      <c r="B809" s="234">
        <v>354</v>
      </c>
      <c r="C809" s="244" t="s">
        <v>928</v>
      </c>
      <c r="D809" s="244" t="s">
        <v>1081</v>
      </c>
      <c r="E809" s="244" t="s">
        <v>1439</v>
      </c>
      <c r="F809" s="245">
        <v>-20.2</v>
      </c>
      <c r="G809" s="245">
        <v>-17.2</v>
      </c>
      <c r="H809" s="245">
        <v>-11.4</v>
      </c>
      <c r="I809" s="245">
        <v>-2.9</v>
      </c>
      <c r="J809" s="245">
        <v>1.9</v>
      </c>
      <c r="K809" s="245">
        <v>9.6999999999999993</v>
      </c>
      <c r="L809" s="245">
        <v>15.1</v>
      </c>
      <c r="M809" s="245">
        <v>16.2</v>
      </c>
      <c r="N809" s="245">
        <v>12</v>
      </c>
      <c r="O809" s="245">
        <v>3.2</v>
      </c>
      <c r="P809" s="245">
        <v>-7.7</v>
      </c>
      <c r="Q809" s="245">
        <v>-16.5</v>
      </c>
      <c r="R809" s="246">
        <v>-1.5</v>
      </c>
      <c r="S809" s="233">
        <v>354</v>
      </c>
      <c r="T809" s="247" t="s">
        <v>1440</v>
      </c>
      <c r="U809" s="245">
        <v>-36</v>
      </c>
      <c r="V809" s="245">
        <v>-32</v>
      </c>
      <c r="W809" s="245">
        <v>-33</v>
      </c>
      <c r="X809" s="245">
        <v>-30</v>
      </c>
      <c r="Y809" s="245">
        <v>-25</v>
      </c>
      <c r="Z809" s="245">
        <v>-42</v>
      </c>
      <c r="AA809" s="245">
        <v>7.7</v>
      </c>
      <c r="AB809" s="245">
        <v>191</v>
      </c>
      <c r="AC809" s="245">
        <v>-11.7</v>
      </c>
      <c r="AD809" s="245">
        <v>252</v>
      </c>
      <c r="AE809" s="245">
        <v>-7.9</v>
      </c>
      <c r="AF809" s="245">
        <v>268</v>
      </c>
      <c r="AG809" s="245">
        <v>-7</v>
      </c>
      <c r="AH809" s="245">
        <v>70</v>
      </c>
      <c r="AI809" s="245">
        <v>65</v>
      </c>
      <c r="AJ809" s="245" t="s">
        <v>1018</v>
      </c>
      <c r="AK809" s="245" t="s">
        <v>931</v>
      </c>
      <c r="AL809" s="245" t="s">
        <v>931</v>
      </c>
      <c r="AM809" s="246" t="s">
        <v>931</v>
      </c>
      <c r="AN809" s="235">
        <v>354</v>
      </c>
      <c r="AO809" s="247" t="s">
        <v>1441</v>
      </c>
      <c r="AP809" s="247">
        <v>1005</v>
      </c>
      <c r="AQ809" s="247">
        <v>16.8</v>
      </c>
      <c r="AR809" s="247">
        <v>21.2</v>
      </c>
      <c r="AS809" s="247">
        <v>19.2</v>
      </c>
      <c r="AT809" s="247">
        <v>32</v>
      </c>
      <c r="AU809" s="247">
        <v>6.1</v>
      </c>
      <c r="AV809" s="247">
        <v>85</v>
      </c>
      <c r="AW809" s="247">
        <v>80</v>
      </c>
      <c r="AX809" s="247">
        <v>427</v>
      </c>
      <c r="AY809" s="247" t="s">
        <v>965</v>
      </c>
      <c r="AZ809" s="247" t="s">
        <v>933</v>
      </c>
      <c r="BA809" s="248" t="s">
        <v>934</v>
      </c>
      <c r="BB809" s="235">
        <v>319</v>
      </c>
      <c r="BC809" s="247" t="s">
        <v>1439</v>
      </c>
      <c r="BD809" s="247">
        <v>1</v>
      </c>
      <c r="BE809" s="247">
        <v>1.2</v>
      </c>
      <c r="BF809" s="247">
        <v>2</v>
      </c>
      <c r="BG809" s="247">
        <v>3.9</v>
      </c>
      <c r="BH809" s="247">
        <v>5.9</v>
      </c>
      <c r="BI809" s="247">
        <v>10.4</v>
      </c>
      <c r="BJ809" s="247">
        <v>15</v>
      </c>
      <c r="BK809" s="247">
        <v>15.4</v>
      </c>
      <c r="BL809" s="247">
        <v>11.3</v>
      </c>
      <c r="BM809" s="247">
        <v>5.6</v>
      </c>
      <c r="BN809" s="247">
        <v>2.5</v>
      </c>
      <c r="BO809" s="247">
        <v>1.4</v>
      </c>
      <c r="BP809" s="248">
        <v>6.3</v>
      </c>
    </row>
    <row r="810" spans="1:68" ht="14.25" customHeight="1">
      <c r="A810" s="233">
        <v>153</v>
      </c>
      <c r="B810" s="234">
        <v>411</v>
      </c>
      <c r="C810" s="244" t="s">
        <v>928</v>
      </c>
      <c r="D810" s="244" t="s">
        <v>969</v>
      </c>
      <c r="E810" s="244" t="s">
        <v>1442</v>
      </c>
      <c r="F810" s="245">
        <v>-38.6</v>
      </c>
      <c r="G810" s="245">
        <v>-34.700000000000003</v>
      </c>
      <c r="H810" s="245">
        <v>-23.7</v>
      </c>
      <c r="I810" s="245">
        <v>-12.4</v>
      </c>
      <c r="J810" s="245">
        <v>-0.8</v>
      </c>
      <c r="K810" s="245">
        <v>10.7</v>
      </c>
      <c r="L810" s="245">
        <v>14.7</v>
      </c>
      <c r="M810" s="245">
        <v>11.1</v>
      </c>
      <c r="N810" s="245">
        <v>3.1</v>
      </c>
      <c r="O810" s="245">
        <v>-11</v>
      </c>
      <c r="P810" s="245">
        <v>-29.6</v>
      </c>
      <c r="Q810" s="245">
        <v>-36.1</v>
      </c>
      <c r="R810" s="246">
        <v>-12.3</v>
      </c>
      <c r="S810" s="233">
        <v>411</v>
      </c>
      <c r="T810" s="247" t="s">
        <v>1442</v>
      </c>
      <c r="U810" s="245">
        <v>-58</v>
      </c>
      <c r="V810" s="245">
        <v>-55</v>
      </c>
      <c r="W810" s="245">
        <v>-54</v>
      </c>
      <c r="X810" s="245">
        <v>-52</v>
      </c>
      <c r="Y810" s="245">
        <v>-44</v>
      </c>
      <c r="Z810" s="245">
        <v>-60</v>
      </c>
      <c r="AA810" s="245">
        <v>7.2</v>
      </c>
      <c r="AB810" s="245">
        <v>238</v>
      </c>
      <c r="AC810" s="245">
        <v>-23.5</v>
      </c>
      <c r="AD810" s="245">
        <v>284</v>
      </c>
      <c r="AE810" s="245">
        <v>-19</v>
      </c>
      <c r="AF810" s="245">
        <v>297</v>
      </c>
      <c r="AG810" s="245">
        <v>-17.8</v>
      </c>
      <c r="AH810" s="245">
        <v>73</v>
      </c>
      <c r="AI810" s="245">
        <v>73</v>
      </c>
      <c r="AJ810" s="245">
        <v>69</v>
      </c>
      <c r="AK810" s="245" t="s">
        <v>963</v>
      </c>
      <c r="AL810" s="245">
        <v>6.1</v>
      </c>
      <c r="AM810" s="246">
        <v>3.6</v>
      </c>
      <c r="AN810" s="235">
        <v>411</v>
      </c>
      <c r="AO810" s="247" t="s">
        <v>1443</v>
      </c>
      <c r="AP810" s="247">
        <v>1005</v>
      </c>
      <c r="AQ810" s="247">
        <v>17.899999999999999</v>
      </c>
      <c r="AR810" s="247">
        <v>22.2</v>
      </c>
      <c r="AS810" s="247">
        <v>20.3</v>
      </c>
      <c r="AT810" s="247">
        <v>37</v>
      </c>
      <c r="AU810" s="247">
        <v>10.3</v>
      </c>
      <c r="AV810" s="247">
        <v>66</v>
      </c>
      <c r="AW810" s="247">
        <v>57</v>
      </c>
      <c r="AX810" s="247">
        <v>268</v>
      </c>
      <c r="AY810" s="247">
        <v>40</v>
      </c>
      <c r="AZ810" s="247" t="s">
        <v>1005</v>
      </c>
      <c r="BA810" s="248">
        <v>0</v>
      </c>
      <c r="BB810" s="235">
        <v>375</v>
      </c>
      <c r="BC810" s="247" t="s">
        <v>1442</v>
      </c>
      <c r="BD810" s="247">
        <v>0.2</v>
      </c>
      <c r="BE810" s="247">
        <v>0.3</v>
      </c>
      <c r="BF810" s="247">
        <v>0.8</v>
      </c>
      <c r="BG810" s="247">
        <v>1.8</v>
      </c>
      <c r="BH810" s="247">
        <v>4</v>
      </c>
      <c r="BI810" s="247">
        <v>8.1</v>
      </c>
      <c r="BJ810" s="247">
        <v>11.1</v>
      </c>
      <c r="BK810" s="247">
        <v>9.8000000000000007</v>
      </c>
      <c r="BL810" s="247">
        <v>6.1</v>
      </c>
      <c r="BM810" s="247">
        <v>2.6</v>
      </c>
      <c r="BN810" s="247">
        <v>0.6</v>
      </c>
      <c r="BO810" s="247">
        <v>0.3</v>
      </c>
      <c r="BP810" s="248">
        <v>3.8</v>
      </c>
    </row>
    <row r="811" spans="1:68" ht="14.25" customHeight="1">
      <c r="A811" s="233">
        <v>154</v>
      </c>
      <c r="B811" s="234">
        <v>585</v>
      </c>
      <c r="C811" s="244" t="s">
        <v>1015</v>
      </c>
      <c r="D811" s="244" t="s">
        <v>1348</v>
      </c>
      <c r="E811" s="244" t="s">
        <v>1444</v>
      </c>
      <c r="F811" s="245">
        <v>-0.4</v>
      </c>
      <c r="G811" s="245">
        <v>2</v>
      </c>
      <c r="H811" s="245">
        <v>7.9</v>
      </c>
      <c r="I811" s="245">
        <v>15.1</v>
      </c>
      <c r="J811" s="245">
        <v>21.2</v>
      </c>
      <c r="K811" s="245">
        <v>26.4</v>
      </c>
      <c r="L811" s="245">
        <v>28.6</v>
      </c>
      <c r="M811" s="245">
        <v>26.6</v>
      </c>
      <c r="N811" s="245">
        <v>20.9</v>
      </c>
      <c r="O811" s="245">
        <v>13.7</v>
      </c>
      <c r="P811" s="245">
        <v>6.8</v>
      </c>
      <c r="Q811" s="245">
        <v>2.2000000000000002</v>
      </c>
      <c r="R811" s="246">
        <v>14.3</v>
      </c>
      <c r="S811" s="233">
        <v>574</v>
      </c>
      <c r="T811" s="247" t="s">
        <v>1444</v>
      </c>
      <c r="U811" s="245">
        <v>-22</v>
      </c>
      <c r="V811" s="245">
        <v>-19</v>
      </c>
      <c r="W811" s="245">
        <v>-19</v>
      </c>
      <c r="X811" s="245" t="s">
        <v>965</v>
      </c>
      <c r="Y811" s="245">
        <v>-4</v>
      </c>
      <c r="Z811" s="245">
        <v>-32</v>
      </c>
      <c r="AA811" s="245">
        <v>8.5</v>
      </c>
      <c r="AB811" s="245">
        <v>28</v>
      </c>
      <c r="AC811" s="245" t="s">
        <v>958</v>
      </c>
      <c r="AD811" s="245">
        <v>126</v>
      </c>
      <c r="AE811" s="245">
        <v>2.7</v>
      </c>
      <c r="AF811" s="245" t="s">
        <v>933</v>
      </c>
      <c r="AG811" s="245" t="s">
        <v>931</v>
      </c>
      <c r="AH811" s="245" t="s">
        <v>956</v>
      </c>
      <c r="AI811" s="245" t="s">
        <v>956</v>
      </c>
      <c r="AJ811" s="245" t="s">
        <v>1018</v>
      </c>
      <c r="AK811" s="245" t="s">
        <v>931</v>
      </c>
      <c r="AL811" s="245">
        <v>5.5</v>
      </c>
      <c r="AM811" s="246" t="s">
        <v>931</v>
      </c>
      <c r="AN811" s="235">
        <v>575</v>
      </c>
      <c r="AO811" s="247" t="s">
        <v>1445</v>
      </c>
      <c r="AP811" s="247">
        <v>970</v>
      </c>
      <c r="AQ811" s="247">
        <v>33.6</v>
      </c>
      <c r="AR811" s="247">
        <v>37</v>
      </c>
      <c r="AS811" s="247">
        <v>35.799999999999997</v>
      </c>
      <c r="AT811" s="247">
        <v>45</v>
      </c>
      <c r="AU811" s="247">
        <v>15.1</v>
      </c>
      <c r="AV811" s="247" t="s">
        <v>958</v>
      </c>
      <c r="AW811" s="247" t="s">
        <v>931</v>
      </c>
      <c r="AX811" s="247" t="s">
        <v>931</v>
      </c>
      <c r="AY811" s="247">
        <v>69</v>
      </c>
      <c r="AZ811" s="247" t="s">
        <v>933</v>
      </c>
      <c r="BA811" s="248">
        <v>0</v>
      </c>
      <c r="BB811" s="235"/>
      <c r="BC811" s="247" t="s">
        <v>1444</v>
      </c>
      <c r="BD811" s="247"/>
      <c r="BE811" s="247"/>
      <c r="BF811" s="247"/>
      <c r="BG811" s="247"/>
      <c r="BH811" s="247"/>
      <c r="BI811" s="247"/>
      <c r="BJ811" s="247"/>
      <c r="BK811" s="247"/>
      <c r="BL811" s="247"/>
      <c r="BM811" s="247"/>
      <c r="BN811" s="247"/>
      <c r="BO811" s="247"/>
      <c r="BP811" s="248"/>
    </row>
    <row r="812" spans="1:68" ht="14.25" customHeight="1">
      <c r="A812" s="233">
        <v>155</v>
      </c>
      <c r="B812" s="234">
        <v>412</v>
      </c>
      <c r="C812" s="244" t="s">
        <v>928</v>
      </c>
      <c r="D812" s="244" t="s">
        <v>969</v>
      </c>
      <c r="E812" s="244" t="s">
        <v>1446</v>
      </c>
      <c r="F812" s="245">
        <v>-34.700000000000003</v>
      </c>
      <c r="G812" s="245">
        <v>-31.4</v>
      </c>
      <c r="H812" s="245">
        <v>-19.100000000000001</v>
      </c>
      <c r="I812" s="245">
        <v>-4.4000000000000004</v>
      </c>
      <c r="J812" s="245">
        <v>6.1</v>
      </c>
      <c r="K812" s="245">
        <v>13.9</v>
      </c>
      <c r="L812" s="245">
        <v>17.5</v>
      </c>
      <c r="M812" s="245">
        <v>13.7</v>
      </c>
      <c r="N812" s="245">
        <v>5.6</v>
      </c>
      <c r="O812" s="245">
        <v>-5.4</v>
      </c>
      <c r="P812" s="245">
        <v>-22.9</v>
      </c>
      <c r="Q812" s="245">
        <v>-33.1</v>
      </c>
      <c r="R812" s="246">
        <v>-7.9</v>
      </c>
      <c r="S812" s="233">
        <v>412</v>
      </c>
      <c r="T812" s="247" t="s">
        <v>1446</v>
      </c>
      <c r="U812" s="245">
        <v>-56</v>
      </c>
      <c r="V812" s="245">
        <v>-54</v>
      </c>
      <c r="W812" s="245">
        <v>-54</v>
      </c>
      <c r="X812" s="245">
        <v>-51</v>
      </c>
      <c r="Y812" s="245">
        <v>-40</v>
      </c>
      <c r="Z812" s="245">
        <v>-59</v>
      </c>
      <c r="AA812" s="245">
        <v>12.5</v>
      </c>
      <c r="AB812" s="245">
        <v>209</v>
      </c>
      <c r="AC812" s="245">
        <v>-21.4</v>
      </c>
      <c r="AD812" s="245">
        <v>259</v>
      </c>
      <c r="AE812" s="245">
        <v>-16.5</v>
      </c>
      <c r="AF812" s="245">
        <v>274</v>
      </c>
      <c r="AG812" s="245">
        <v>-15.1</v>
      </c>
      <c r="AH812" s="245">
        <v>77</v>
      </c>
      <c r="AI812" s="245">
        <v>75</v>
      </c>
      <c r="AJ812" s="245">
        <v>85</v>
      </c>
      <c r="AK812" s="245" t="s">
        <v>931</v>
      </c>
      <c r="AL812" s="245" t="s">
        <v>931</v>
      </c>
      <c r="AM812" s="246">
        <v>0.8</v>
      </c>
      <c r="AN812" s="235">
        <v>412</v>
      </c>
      <c r="AO812" s="247" t="s">
        <v>1447</v>
      </c>
      <c r="AP812" s="247">
        <v>985</v>
      </c>
      <c r="AQ812" s="247">
        <v>24</v>
      </c>
      <c r="AR812" s="247">
        <v>28.1</v>
      </c>
      <c r="AS812" s="247">
        <v>26.4</v>
      </c>
      <c r="AT812" s="247">
        <v>38</v>
      </c>
      <c r="AU812" s="247">
        <v>17.8</v>
      </c>
      <c r="AV812" s="247">
        <v>72</v>
      </c>
      <c r="AW812" s="247">
        <v>50</v>
      </c>
      <c r="AX812" s="247">
        <v>297</v>
      </c>
      <c r="AY812" s="247">
        <v>55</v>
      </c>
      <c r="AZ812" s="247" t="s">
        <v>933</v>
      </c>
      <c r="BA812" s="248" t="s">
        <v>934</v>
      </c>
      <c r="BB812" s="235">
        <v>376</v>
      </c>
      <c r="BC812" s="247" t="s">
        <v>1446</v>
      </c>
      <c r="BD812" s="247">
        <v>0.4</v>
      </c>
      <c r="BE812" s="247">
        <v>0.5</v>
      </c>
      <c r="BF812" s="247">
        <v>1.1000000000000001</v>
      </c>
      <c r="BG812" s="247">
        <v>2.8</v>
      </c>
      <c r="BH812" s="247">
        <v>5.3</v>
      </c>
      <c r="BI812" s="247">
        <v>10.1</v>
      </c>
      <c r="BJ812" s="247">
        <v>13.8</v>
      </c>
      <c r="BK812" s="247">
        <v>12.1</v>
      </c>
      <c r="BL812" s="247">
        <v>7.1</v>
      </c>
      <c r="BM812" s="247">
        <v>3.4</v>
      </c>
      <c r="BN812" s="247">
        <v>1.1000000000000001</v>
      </c>
      <c r="BO812" s="247">
        <v>0.5</v>
      </c>
      <c r="BP812" s="248">
        <v>4.9000000000000004</v>
      </c>
    </row>
    <row r="813" spans="1:68" ht="14.25" customHeight="1">
      <c r="A813" s="233">
        <v>156</v>
      </c>
      <c r="B813" s="234">
        <v>178</v>
      </c>
      <c r="C813" s="244" t="s">
        <v>928</v>
      </c>
      <c r="D813" s="244" t="s">
        <v>935</v>
      </c>
      <c r="E813" s="244" t="s">
        <v>1448</v>
      </c>
      <c r="F813" s="245">
        <v>-25.6</v>
      </c>
      <c r="G813" s="245">
        <v>-25.7</v>
      </c>
      <c r="H813" s="245">
        <v>-24.3</v>
      </c>
      <c r="I813" s="245">
        <v>-17.2</v>
      </c>
      <c r="J813" s="245">
        <v>-8.1</v>
      </c>
      <c r="K813" s="245">
        <v>0.2</v>
      </c>
      <c r="L813" s="245">
        <v>4.5999999999999996</v>
      </c>
      <c r="M813" s="245">
        <v>5</v>
      </c>
      <c r="N813" s="245">
        <v>1.6</v>
      </c>
      <c r="O813" s="245">
        <v>-7.3</v>
      </c>
      <c r="P813" s="245">
        <v>-17.600000000000001</v>
      </c>
      <c r="Q813" s="245">
        <v>-22.3</v>
      </c>
      <c r="R813" s="246">
        <v>-11.4</v>
      </c>
      <c r="S813" s="233">
        <v>178</v>
      </c>
      <c r="T813" s="247" t="s">
        <v>1449</v>
      </c>
      <c r="U813" s="245">
        <v>-45</v>
      </c>
      <c r="V813" s="245">
        <v>-44</v>
      </c>
      <c r="W813" s="245">
        <v>-42</v>
      </c>
      <c r="X813" s="245">
        <v>-41</v>
      </c>
      <c r="Y813" s="245">
        <v>-31</v>
      </c>
      <c r="Z813" s="245">
        <v>-49</v>
      </c>
      <c r="AA813" s="245">
        <v>7.7</v>
      </c>
      <c r="AB813" s="245">
        <v>267</v>
      </c>
      <c r="AC813" s="245">
        <v>-16.7</v>
      </c>
      <c r="AD813" s="245">
        <v>365</v>
      </c>
      <c r="AE813" s="245">
        <v>-11.4</v>
      </c>
      <c r="AF813" s="245">
        <v>365</v>
      </c>
      <c r="AG813" s="245">
        <v>-11.4</v>
      </c>
      <c r="AH813" s="245">
        <v>86</v>
      </c>
      <c r="AI813" s="245">
        <v>86</v>
      </c>
      <c r="AJ813" s="245" t="s">
        <v>1018</v>
      </c>
      <c r="AK813" s="245" t="s">
        <v>963</v>
      </c>
      <c r="AL813" s="245">
        <v>12.2</v>
      </c>
      <c r="AM813" s="246">
        <v>7.5</v>
      </c>
      <c r="AN813" s="235">
        <v>178</v>
      </c>
      <c r="AO813" s="247" t="s">
        <v>1450</v>
      </c>
      <c r="AP813" s="247">
        <v>1005</v>
      </c>
      <c r="AQ813" s="247">
        <v>5.0999999999999996</v>
      </c>
      <c r="AR813" s="247">
        <v>10.1</v>
      </c>
      <c r="AS813" s="247">
        <v>7.5</v>
      </c>
      <c r="AT813" s="247">
        <v>27</v>
      </c>
      <c r="AU813" s="247">
        <v>5.5</v>
      </c>
      <c r="AV813" s="247">
        <v>89</v>
      </c>
      <c r="AW813" s="247">
        <v>86</v>
      </c>
      <c r="AX813" s="247" t="s">
        <v>931</v>
      </c>
      <c r="AY813" s="247">
        <v>31</v>
      </c>
      <c r="AZ813" s="247" t="s">
        <v>940</v>
      </c>
      <c r="BA813" s="248">
        <v>6.7</v>
      </c>
      <c r="BB813" s="235"/>
      <c r="BC813" s="247" t="s">
        <v>1448</v>
      </c>
      <c r="BD813" s="247"/>
      <c r="BE813" s="247"/>
      <c r="BF813" s="247"/>
      <c r="BG813" s="247"/>
      <c r="BH813" s="247"/>
      <c r="BI813" s="247"/>
      <c r="BJ813" s="247"/>
      <c r="BK813" s="247"/>
      <c r="BL813" s="247"/>
      <c r="BM813" s="247"/>
      <c r="BN813" s="247"/>
      <c r="BO813" s="247"/>
      <c r="BP813" s="248"/>
    </row>
    <row r="814" spans="1:68" ht="14.25" customHeight="1">
      <c r="A814" s="233">
        <v>157</v>
      </c>
      <c r="B814" s="234">
        <v>210</v>
      </c>
      <c r="C814" s="244" t="s">
        <v>928</v>
      </c>
      <c r="D814" s="244" t="s">
        <v>1451</v>
      </c>
      <c r="E814" s="244" t="s">
        <v>1452</v>
      </c>
      <c r="F814" s="245">
        <v>-10.4</v>
      </c>
      <c r="G814" s="245">
        <v>-9.5</v>
      </c>
      <c r="H814" s="245">
        <v>-4.4000000000000004</v>
      </c>
      <c r="I814" s="245">
        <v>4.3</v>
      </c>
      <c r="J814" s="245">
        <v>11.5</v>
      </c>
      <c r="K814" s="245">
        <v>15.7</v>
      </c>
      <c r="L814" s="245">
        <v>17.5</v>
      </c>
      <c r="M814" s="245">
        <v>15.7</v>
      </c>
      <c r="N814" s="245">
        <v>10.3</v>
      </c>
      <c r="O814" s="245">
        <v>4</v>
      </c>
      <c r="P814" s="245">
        <v>-2.4</v>
      </c>
      <c r="Q814" s="245">
        <v>-7.2</v>
      </c>
      <c r="R814" s="246">
        <v>3.8</v>
      </c>
      <c r="S814" s="233">
        <v>210</v>
      </c>
      <c r="T814" s="247" t="s">
        <v>1453</v>
      </c>
      <c r="U814" s="245">
        <v>-36</v>
      </c>
      <c r="V814" s="245">
        <v>-33</v>
      </c>
      <c r="W814" s="245">
        <v>-32</v>
      </c>
      <c r="X814" s="245">
        <v>-28</v>
      </c>
      <c r="Y814" s="245">
        <v>-15</v>
      </c>
      <c r="Z814" s="245">
        <v>-43</v>
      </c>
      <c r="AA814" s="245">
        <v>6.3</v>
      </c>
      <c r="AB814" s="245">
        <v>147</v>
      </c>
      <c r="AC814" s="245">
        <v>-6.5</v>
      </c>
      <c r="AD814" s="245">
        <v>216</v>
      </c>
      <c r="AE814" s="245">
        <v>-3.1</v>
      </c>
      <c r="AF814" s="245">
        <v>235</v>
      </c>
      <c r="AG814" s="245">
        <v>-2.2000000000000002</v>
      </c>
      <c r="AH814" s="245">
        <v>84</v>
      </c>
      <c r="AI814" s="245">
        <v>84</v>
      </c>
      <c r="AJ814" s="245">
        <v>183</v>
      </c>
      <c r="AK814" s="245" t="s">
        <v>963</v>
      </c>
      <c r="AL814" s="245">
        <v>5.2</v>
      </c>
      <c r="AM814" s="246">
        <v>3.8</v>
      </c>
      <c r="AN814" s="235">
        <v>210</v>
      </c>
      <c r="AO814" s="247" t="s">
        <v>1454</v>
      </c>
      <c r="AP814" s="247">
        <v>990</v>
      </c>
      <c r="AQ814" s="247">
        <v>20.3</v>
      </c>
      <c r="AR814" s="247">
        <v>24.6</v>
      </c>
      <c r="AS814" s="247">
        <v>22.7</v>
      </c>
      <c r="AT814" s="247">
        <v>36</v>
      </c>
      <c r="AU814" s="247">
        <v>10</v>
      </c>
      <c r="AV814" s="247">
        <v>74</v>
      </c>
      <c r="AW814" s="247">
        <v>57</v>
      </c>
      <c r="AX814" s="247">
        <v>447</v>
      </c>
      <c r="AY814" s="247">
        <v>81</v>
      </c>
      <c r="AZ814" s="247" t="s">
        <v>959</v>
      </c>
      <c r="BA814" s="248">
        <v>3.1</v>
      </c>
      <c r="BB814" s="235">
        <v>185</v>
      </c>
      <c r="BC814" s="247" t="s">
        <v>1452</v>
      </c>
      <c r="BD814" s="247">
        <v>2.7</v>
      </c>
      <c r="BE814" s="247">
        <v>2.8</v>
      </c>
      <c r="BF814" s="247">
        <v>3.7</v>
      </c>
      <c r="BG814" s="247">
        <v>6</v>
      </c>
      <c r="BH814" s="247">
        <v>8.9</v>
      </c>
      <c r="BI814" s="247">
        <v>12.2</v>
      </c>
      <c r="BJ814" s="247">
        <v>14.5</v>
      </c>
      <c r="BK814" s="247">
        <v>13.9</v>
      </c>
      <c r="BL814" s="247">
        <v>10.199999999999999</v>
      </c>
      <c r="BM814" s="247">
        <v>7</v>
      </c>
      <c r="BN814" s="247">
        <v>4.7</v>
      </c>
      <c r="BO814" s="247">
        <v>3.5</v>
      </c>
      <c r="BP814" s="248">
        <v>7.5</v>
      </c>
    </row>
    <row r="815" spans="1:68" ht="14.25" customHeight="1">
      <c r="A815" s="233">
        <v>158</v>
      </c>
      <c r="B815" s="234">
        <v>610</v>
      </c>
      <c r="C815" s="244" t="s">
        <v>953</v>
      </c>
      <c r="D815" s="244" t="s">
        <v>1455</v>
      </c>
      <c r="E815" s="244" t="s">
        <v>1456</v>
      </c>
      <c r="F815" s="245">
        <v>-5.5</v>
      </c>
      <c r="G815" s="245">
        <v>-4.0999999999999996</v>
      </c>
      <c r="H815" s="245">
        <v>0.8</v>
      </c>
      <c r="I815" s="245">
        <v>9.4</v>
      </c>
      <c r="J815" s="245">
        <v>16</v>
      </c>
      <c r="K815" s="245">
        <v>19.600000000000001</v>
      </c>
      <c r="L815" s="245">
        <v>21.3</v>
      </c>
      <c r="M815" s="245">
        <v>20.6</v>
      </c>
      <c r="N815" s="245">
        <v>15.4</v>
      </c>
      <c r="O815" s="245">
        <v>8.4</v>
      </c>
      <c r="P815" s="245">
        <v>2.5</v>
      </c>
      <c r="Q815" s="245">
        <v>-2.1</v>
      </c>
      <c r="R815" s="246">
        <v>8.5</v>
      </c>
      <c r="S815" s="233">
        <v>599</v>
      </c>
      <c r="T815" s="247" t="s">
        <v>1456</v>
      </c>
      <c r="U815" s="245">
        <v>-29</v>
      </c>
      <c r="V815" s="245">
        <v>-27</v>
      </c>
      <c r="W815" s="245">
        <v>-26</v>
      </c>
      <c r="X815" s="245">
        <v>-24</v>
      </c>
      <c r="Y815" s="245">
        <v>-10</v>
      </c>
      <c r="Z815" s="245">
        <v>-38</v>
      </c>
      <c r="AA815" s="245" t="s">
        <v>956</v>
      </c>
      <c r="AB815" s="245">
        <v>100</v>
      </c>
      <c r="AC815" s="245">
        <v>-3.7</v>
      </c>
      <c r="AD815" s="245">
        <v>172</v>
      </c>
      <c r="AE815" s="245">
        <v>-0.6</v>
      </c>
      <c r="AF815" s="245">
        <v>187</v>
      </c>
      <c r="AG815" s="245">
        <v>0.2</v>
      </c>
      <c r="AH815" s="245" t="s">
        <v>956</v>
      </c>
      <c r="AI815" s="245" t="s">
        <v>956</v>
      </c>
      <c r="AJ815" s="245">
        <v>209</v>
      </c>
      <c r="AK815" s="245" t="s">
        <v>982</v>
      </c>
      <c r="AL815" s="245" t="s">
        <v>931</v>
      </c>
      <c r="AM815" s="246" t="s">
        <v>931</v>
      </c>
      <c r="AN815" s="235">
        <v>600</v>
      </c>
      <c r="AO815" s="247" t="s">
        <v>1457</v>
      </c>
      <c r="AP815" s="247">
        <v>1000</v>
      </c>
      <c r="AQ815" s="247">
        <v>31</v>
      </c>
      <c r="AR815" s="247">
        <v>27</v>
      </c>
      <c r="AS815" s="247">
        <v>27.4</v>
      </c>
      <c r="AT815" s="247">
        <v>40</v>
      </c>
      <c r="AU815" s="247" t="s">
        <v>934</v>
      </c>
      <c r="AV815" s="247" t="s">
        <v>958</v>
      </c>
      <c r="AW815" s="247" t="s">
        <v>931</v>
      </c>
      <c r="AX815" s="247" t="s">
        <v>931</v>
      </c>
      <c r="AY815" s="247">
        <v>82</v>
      </c>
      <c r="AZ815" s="247" t="s">
        <v>1005</v>
      </c>
      <c r="BA815" s="248">
        <v>2.6</v>
      </c>
      <c r="BB815" s="235"/>
      <c r="BC815" s="247" t="s">
        <v>1456</v>
      </c>
      <c r="BD815" s="247"/>
      <c r="BE815" s="247"/>
      <c r="BF815" s="247"/>
      <c r="BG815" s="247"/>
      <c r="BH815" s="247"/>
      <c r="BI815" s="247"/>
      <c r="BJ815" s="247"/>
      <c r="BK815" s="247"/>
      <c r="BL815" s="247"/>
      <c r="BM815" s="247"/>
      <c r="BN815" s="247"/>
      <c r="BO815" s="247"/>
      <c r="BP815" s="248"/>
    </row>
    <row r="816" spans="1:68" ht="14.25" customHeight="1">
      <c r="A816" s="233">
        <v>159</v>
      </c>
      <c r="B816" s="234">
        <v>288</v>
      </c>
      <c r="C816" s="244" t="s">
        <v>928</v>
      </c>
      <c r="D816" s="244" t="s">
        <v>992</v>
      </c>
      <c r="E816" s="244" t="s">
        <v>1458</v>
      </c>
      <c r="F816" s="245">
        <v>-13.5</v>
      </c>
      <c r="G816" s="245">
        <v>-12.4</v>
      </c>
      <c r="H816" s="245">
        <v>-6.5</v>
      </c>
      <c r="I816" s="245">
        <v>0.9</v>
      </c>
      <c r="J816" s="245">
        <v>6.2</v>
      </c>
      <c r="K816" s="245">
        <v>10.9</v>
      </c>
      <c r="L816" s="245">
        <v>15.3</v>
      </c>
      <c r="M816" s="245">
        <v>16.899999999999999</v>
      </c>
      <c r="N816" s="245">
        <v>13.1</v>
      </c>
      <c r="O816" s="245">
        <v>6.4</v>
      </c>
      <c r="P816" s="245">
        <v>-1.9</v>
      </c>
      <c r="Q816" s="245">
        <v>-8.6</v>
      </c>
      <c r="R816" s="246">
        <v>2.2000000000000002</v>
      </c>
      <c r="S816" s="233">
        <v>288</v>
      </c>
      <c r="T816" s="247" t="s">
        <v>1459</v>
      </c>
      <c r="U816" s="245">
        <v>-29</v>
      </c>
      <c r="V816" s="245">
        <v>-27</v>
      </c>
      <c r="W816" s="245">
        <v>-25</v>
      </c>
      <c r="X816" s="245">
        <v>-24</v>
      </c>
      <c r="Y816" s="245">
        <v>-18</v>
      </c>
      <c r="Z816" s="245">
        <v>-35</v>
      </c>
      <c r="AA816" s="245">
        <v>10.1</v>
      </c>
      <c r="AB816" s="245">
        <v>154</v>
      </c>
      <c r="AC816" s="245">
        <v>-8.1</v>
      </c>
      <c r="AD816" s="245">
        <v>231</v>
      </c>
      <c r="AE816" s="245">
        <v>-4</v>
      </c>
      <c r="AF816" s="245">
        <v>253</v>
      </c>
      <c r="AG816" s="245">
        <v>-2.9</v>
      </c>
      <c r="AH816" s="245">
        <v>78</v>
      </c>
      <c r="AI816" s="245">
        <v>67</v>
      </c>
      <c r="AJ816" s="245">
        <v>348</v>
      </c>
      <c r="AK816" s="245" t="s">
        <v>963</v>
      </c>
      <c r="AL816" s="245">
        <v>5.6</v>
      </c>
      <c r="AM816" s="246">
        <v>3.8</v>
      </c>
      <c r="AN816" s="235">
        <v>282</v>
      </c>
      <c r="AO816" s="247" t="s">
        <v>1460</v>
      </c>
      <c r="AP816" s="247">
        <v>1005</v>
      </c>
      <c r="AQ816" s="247">
        <v>19.8</v>
      </c>
      <c r="AR816" s="247">
        <v>24.1</v>
      </c>
      <c r="AS816" s="247">
        <v>22.2</v>
      </c>
      <c r="AT816" s="247">
        <v>35</v>
      </c>
      <c r="AU816" s="247">
        <v>9.3000000000000007</v>
      </c>
      <c r="AV816" s="247">
        <v>85</v>
      </c>
      <c r="AW816" s="247">
        <v>73</v>
      </c>
      <c r="AX816" s="247">
        <v>654</v>
      </c>
      <c r="AY816" s="247">
        <v>222</v>
      </c>
      <c r="AZ816" s="247" t="s">
        <v>973</v>
      </c>
      <c r="BA816" s="248">
        <v>0</v>
      </c>
      <c r="BB816" s="235">
        <v>253</v>
      </c>
      <c r="BC816" s="247" t="s">
        <v>1458</v>
      </c>
      <c r="BD816" s="247">
        <v>1.9</v>
      </c>
      <c r="BE816" s="247">
        <v>2</v>
      </c>
      <c r="BF816" s="247">
        <v>3</v>
      </c>
      <c r="BG816" s="247">
        <v>4.9000000000000004</v>
      </c>
      <c r="BH816" s="247">
        <v>7</v>
      </c>
      <c r="BI816" s="247">
        <v>10.5</v>
      </c>
      <c r="BJ816" s="247">
        <v>14.8</v>
      </c>
      <c r="BK816" s="247">
        <v>16</v>
      </c>
      <c r="BL816" s="247">
        <v>12.1</v>
      </c>
      <c r="BM816" s="247">
        <v>7.4</v>
      </c>
      <c r="BN816" s="247">
        <v>4.2</v>
      </c>
      <c r="BO816" s="247">
        <v>2.7</v>
      </c>
      <c r="BP816" s="248">
        <v>7.2</v>
      </c>
    </row>
    <row r="817" spans="1:68" ht="14.25" customHeight="1">
      <c r="A817" s="233">
        <v>160</v>
      </c>
      <c r="B817" s="234">
        <v>613</v>
      </c>
      <c r="C817" s="244" t="s">
        <v>953</v>
      </c>
      <c r="D817" s="244" t="s">
        <v>1461</v>
      </c>
      <c r="E817" s="244" t="s">
        <v>1462</v>
      </c>
      <c r="F817" s="245">
        <v>-6.1</v>
      </c>
      <c r="G817" s="245">
        <v>-4.8</v>
      </c>
      <c r="H817" s="245">
        <v>0.4</v>
      </c>
      <c r="I817" s="245">
        <v>9.3000000000000007</v>
      </c>
      <c r="J817" s="245">
        <v>15.5</v>
      </c>
      <c r="K817" s="245">
        <v>19</v>
      </c>
      <c r="L817" s="245">
        <v>20.9</v>
      </c>
      <c r="M817" s="245">
        <v>20.100000000000001</v>
      </c>
      <c r="N817" s="245">
        <v>14.9</v>
      </c>
      <c r="O817" s="245">
        <v>7.8</v>
      </c>
      <c r="P817" s="245">
        <v>2</v>
      </c>
      <c r="Q817" s="245">
        <v>-2.6</v>
      </c>
      <c r="R817" s="246">
        <v>8</v>
      </c>
      <c r="S817" s="233">
        <v>602</v>
      </c>
      <c r="T817" s="247" t="s">
        <v>1462</v>
      </c>
      <c r="U817" s="245">
        <v>-28</v>
      </c>
      <c r="V817" s="245">
        <v>-26</v>
      </c>
      <c r="W817" s="245">
        <v>-24</v>
      </c>
      <c r="X817" s="245">
        <v>-22</v>
      </c>
      <c r="Y817" s="245">
        <v>-9</v>
      </c>
      <c r="Z817" s="245">
        <v>-34</v>
      </c>
      <c r="AA817" s="245" t="s">
        <v>956</v>
      </c>
      <c r="AB817" s="245">
        <v>105</v>
      </c>
      <c r="AC817" s="245">
        <v>-4.0999999999999996</v>
      </c>
      <c r="AD817" s="245">
        <v>176</v>
      </c>
      <c r="AE817" s="245">
        <v>-0.9</v>
      </c>
      <c r="AF817" s="245">
        <v>190</v>
      </c>
      <c r="AG817" s="245">
        <v>-0.2</v>
      </c>
      <c r="AH817" s="245" t="s">
        <v>956</v>
      </c>
      <c r="AI817" s="245" t="s">
        <v>956</v>
      </c>
      <c r="AJ817" s="245">
        <v>204</v>
      </c>
      <c r="AK817" s="245" t="s">
        <v>990</v>
      </c>
      <c r="AL817" s="245" t="s">
        <v>931</v>
      </c>
      <c r="AM817" s="246" t="s">
        <v>931</v>
      </c>
      <c r="AN817" s="235">
        <v>603</v>
      </c>
      <c r="AO817" s="247" t="s">
        <v>1463</v>
      </c>
      <c r="AP817" s="247">
        <v>990</v>
      </c>
      <c r="AQ817" s="247">
        <v>30</v>
      </c>
      <c r="AR817" s="247">
        <v>26</v>
      </c>
      <c r="AS817" s="247">
        <v>26.9</v>
      </c>
      <c r="AT817" s="247">
        <v>39</v>
      </c>
      <c r="AU817" s="247" t="s">
        <v>934</v>
      </c>
      <c r="AV817" s="247" t="s">
        <v>958</v>
      </c>
      <c r="AW817" s="247" t="s">
        <v>931</v>
      </c>
      <c r="AX817" s="247" t="s">
        <v>931</v>
      </c>
      <c r="AY817" s="247">
        <v>125</v>
      </c>
      <c r="AZ817" s="247" t="s">
        <v>940</v>
      </c>
      <c r="BA817" s="248">
        <v>2.2999999999999998</v>
      </c>
      <c r="BB817" s="235"/>
      <c r="BC817" s="247" t="s">
        <v>1462</v>
      </c>
      <c r="BD817" s="247"/>
      <c r="BE817" s="247"/>
      <c r="BF817" s="247"/>
      <c r="BG817" s="247"/>
      <c r="BH817" s="247"/>
      <c r="BI817" s="247"/>
      <c r="BJ817" s="247"/>
      <c r="BK817" s="247"/>
      <c r="BL817" s="247"/>
      <c r="BM817" s="247"/>
      <c r="BN817" s="247"/>
      <c r="BO817" s="247"/>
      <c r="BP817" s="248"/>
    </row>
    <row r="818" spans="1:68" ht="14.25" customHeight="1">
      <c r="A818" s="233">
        <v>161</v>
      </c>
      <c r="B818" s="234">
        <v>413</v>
      </c>
      <c r="C818" s="244" t="s">
        <v>928</v>
      </c>
      <c r="D818" s="244" t="s">
        <v>969</v>
      </c>
      <c r="E818" s="244" t="s">
        <v>1464</v>
      </c>
      <c r="F818" s="245">
        <v>-39.4</v>
      </c>
      <c r="G818" s="245">
        <v>-37</v>
      </c>
      <c r="H818" s="245">
        <v>-28</v>
      </c>
      <c r="I818" s="245">
        <v>-14.5</v>
      </c>
      <c r="J818" s="245">
        <v>0.4</v>
      </c>
      <c r="K818" s="245">
        <v>11.5</v>
      </c>
      <c r="L818" s="245">
        <v>13.7</v>
      </c>
      <c r="M818" s="245">
        <v>10.5</v>
      </c>
      <c r="N818" s="245">
        <v>2.9</v>
      </c>
      <c r="O818" s="245">
        <v>-12.4</v>
      </c>
      <c r="P818" s="245">
        <v>-29.6</v>
      </c>
      <c r="Q818" s="245">
        <v>-37</v>
      </c>
      <c r="R818" s="246">
        <v>-13.2</v>
      </c>
      <c r="S818" s="233">
        <v>413</v>
      </c>
      <c r="T818" s="247" t="s">
        <v>1464</v>
      </c>
      <c r="U818" s="245">
        <v>-57</v>
      </c>
      <c r="V818" s="245">
        <v>-56</v>
      </c>
      <c r="W818" s="245">
        <v>-53</v>
      </c>
      <c r="X818" s="245">
        <v>-52</v>
      </c>
      <c r="Y818" s="245">
        <v>-44</v>
      </c>
      <c r="Z818" s="245">
        <v>-58</v>
      </c>
      <c r="AA818" s="245">
        <v>8.8000000000000007</v>
      </c>
      <c r="AB818" s="245">
        <v>236</v>
      </c>
      <c r="AC818" s="245">
        <v>-25.2</v>
      </c>
      <c r="AD818" s="245">
        <v>284</v>
      </c>
      <c r="AE818" s="245">
        <v>-20.2</v>
      </c>
      <c r="AF818" s="245">
        <v>297</v>
      </c>
      <c r="AG818" s="245">
        <v>-18.899999999999999</v>
      </c>
      <c r="AH818" s="245">
        <v>76</v>
      </c>
      <c r="AI818" s="245">
        <v>76</v>
      </c>
      <c r="AJ818" s="245">
        <v>78</v>
      </c>
      <c r="AK818" s="245" t="s">
        <v>944</v>
      </c>
      <c r="AL818" s="245">
        <v>2.8</v>
      </c>
      <c r="AM818" s="246">
        <v>1.5</v>
      </c>
      <c r="AN818" s="235">
        <v>413</v>
      </c>
      <c r="AO818" s="247" t="s">
        <v>1465</v>
      </c>
      <c r="AP818" s="247">
        <v>1005</v>
      </c>
      <c r="AQ818" s="247">
        <v>16.5</v>
      </c>
      <c r="AR818" s="247">
        <v>21</v>
      </c>
      <c r="AS818" s="247">
        <v>18.899999999999999</v>
      </c>
      <c r="AT818" s="247">
        <v>36</v>
      </c>
      <c r="AU818" s="247">
        <v>9.5</v>
      </c>
      <c r="AV818" s="247">
        <v>72</v>
      </c>
      <c r="AW818" s="247">
        <v>62</v>
      </c>
      <c r="AX818" s="247">
        <v>204</v>
      </c>
      <c r="AY818" s="247">
        <v>45</v>
      </c>
      <c r="AZ818" s="247" t="s">
        <v>1005</v>
      </c>
      <c r="BA818" s="248">
        <v>0</v>
      </c>
      <c r="BB818" s="235">
        <v>377</v>
      </c>
      <c r="BC818" s="247" t="s">
        <v>1464</v>
      </c>
      <c r="BD818" s="247">
        <v>0.2</v>
      </c>
      <c r="BE818" s="247">
        <v>0.3</v>
      </c>
      <c r="BF818" s="247">
        <v>0.5</v>
      </c>
      <c r="BG818" s="247">
        <v>1.5</v>
      </c>
      <c r="BH818" s="247">
        <v>4.3</v>
      </c>
      <c r="BI818" s="247">
        <v>8.8000000000000007</v>
      </c>
      <c r="BJ818" s="247">
        <v>11.3</v>
      </c>
      <c r="BK818" s="247">
        <v>10</v>
      </c>
      <c r="BL818" s="247">
        <v>6</v>
      </c>
      <c r="BM818" s="247">
        <v>2.2999999999999998</v>
      </c>
      <c r="BN818" s="247">
        <v>0.5</v>
      </c>
      <c r="BO818" s="247">
        <v>0.3</v>
      </c>
      <c r="BP818" s="248">
        <v>3.8</v>
      </c>
    </row>
    <row r="819" spans="1:68" ht="14.25" customHeight="1">
      <c r="A819" s="233">
        <v>162</v>
      </c>
      <c r="B819" s="234">
        <v>87</v>
      </c>
      <c r="C819" s="244" t="s">
        <v>928</v>
      </c>
      <c r="D819" s="244" t="s">
        <v>1001</v>
      </c>
      <c r="E819" s="244" t="s">
        <v>1466</v>
      </c>
      <c r="F819" s="245">
        <v>-28.6</v>
      </c>
      <c r="G819" s="245">
        <v>-23.2</v>
      </c>
      <c r="H819" s="245">
        <v>-13.6</v>
      </c>
      <c r="I819" s="245">
        <v>-2.9</v>
      </c>
      <c r="J819" s="245">
        <v>5.7</v>
      </c>
      <c r="K819" s="245">
        <v>14.3</v>
      </c>
      <c r="L819" s="245">
        <v>17.7</v>
      </c>
      <c r="M819" s="245">
        <v>14</v>
      </c>
      <c r="N819" s="245">
        <v>6.4</v>
      </c>
      <c r="O819" s="245">
        <v>-2.2999999999999998</v>
      </c>
      <c r="P819" s="245">
        <v>-17.399999999999999</v>
      </c>
      <c r="Q819" s="245">
        <v>-25.8</v>
      </c>
      <c r="R819" s="246">
        <v>-4.5999999999999996</v>
      </c>
      <c r="S819" s="233">
        <v>87</v>
      </c>
      <c r="T819" s="247" t="s">
        <v>1467</v>
      </c>
      <c r="U819" s="245">
        <v>-53</v>
      </c>
      <c r="V819" s="245">
        <v>-52</v>
      </c>
      <c r="W819" s="245">
        <v>-52</v>
      </c>
      <c r="X819" s="245">
        <v>-50</v>
      </c>
      <c r="Y819" s="245">
        <v>-34</v>
      </c>
      <c r="Z819" s="245">
        <v>-55</v>
      </c>
      <c r="AA819" s="245">
        <v>9.1999999999999993</v>
      </c>
      <c r="AB819" s="245">
        <v>200</v>
      </c>
      <c r="AC819" s="245">
        <v>-16.899999999999999</v>
      </c>
      <c r="AD819" s="245">
        <v>257</v>
      </c>
      <c r="AE819" s="245">
        <v>-12.3</v>
      </c>
      <c r="AF819" s="245">
        <v>272</v>
      </c>
      <c r="AG819" s="245">
        <v>-11.1</v>
      </c>
      <c r="AH819" s="245">
        <v>78</v>
      </c>
      <c r="AI819" s="245">
        <v>76</v>
      </c>
      <c r="AJ819" s="245">
        <v>143</v>
      </c>
      <c r="AK819" s="245" t="s">
        <v>931</v>
      </c>
      <c r="AL819" s="245" t="s">
        <v>931</v>
      </c>
      <c r="AM819" s="246" t="s">
        <v>931</v>
      </c>
      <c r="AN819" s="235">
        <v>87</v>
      </c>
      <c r="AO819" s="247" t="s">
        <v>1468</v>
      </c>
      <c r="AP819" s="247">
        <v>955</v>
      </c>
      <c r="AQ819" s="247">
        <v>23.1</v>
      </c>
      <c r="AR819" s="247">
        <v>27.2</v>
      </c>
      <c r="AS819" s="247">
        <v>25.5</v>
      </c>
      <c r="AT819" s="247">
        <v>38</v>
      </c>
      <c r="AU819" s="247">
        <v>14.2</v>
      </c>
      <c r="AV819" s="247">
        <v>74</v>
      </c>
      <c r="AW819" s="247">
        <v>52</v>
      </c>
      <c r="AX819" s="247">
        <v>364</v>
      </c>
      <c r="AY819" s="247">
        <v>56</v>
      </c>
      <c r="AZ819" s="247" t="s">
        <v>933</v>
      </c>
      <c r="BA819" s="248" t="s">
        <v>934</v>
      </c>
      <c r="BB819" s="235">
        <v>71</v>
      </c>
      <c r="BC819" s="247" t="s">
        <v>1466</v>
      </c>
      <c r="BD819" s="247">
        <v>0.8</v>
      </c>
      <c r="BE819" s="247">
        <v>0.9</v>
      </c>
      <c r="BF819" s="247">
        <v>1.6</v>
      </c>
      <c r="BG819" s="247">
        <v>3.3</v>
      </c>
      <c r="BH819" s="247">
        <v>5.6</v>
      </c>
      <c r="BI819" s="247">
        <v>10.9</v>
      </c>
      <c r="BJ819" s="247">
        <v>14.8</v>
      </c>
      <c r="BK819" s="247">
        <v>12.7</v>
      </c>
      <c r="BL819" s="247">
        <v>8</v>
      </c>
      <c r="BM819" s="247">
        <v>4.4000000000000004</v>
      </c>
      <c r="BN819" s="247">
        <v>1.6</v>
      </c>
      <c r="BO819" s="247">
        <v>0.9</v>
      </c>
      <c r="BP819" s="248">
        <v>5.5</v>
      </c>
    </row>
    <row r="820" spans="1:68" ht="14.25" customHeight="1">
      <c r="A820" s="233">
        <v>163</v>
      </c>
      <c r="B820" s="234">
        <v>48</v>
      </c>
      <c r="C820" s="244" t="s">
        <v>928</v>
      </c>
      <c r="D820" s="244" t="s">
        <v>1149</v>
      </c>
      <c r="E820" s="244" t="s">
        <v>1469</v>
      </c>
      <c r="F820" s="245">
        <v>-15.7</v>
      </c>
      <c r="G820" s="245">
        <v>-14.3</v>
      </c>
      <c r="H820" s="245">
        <v>-7.5</v>
      </c>
      <c r="I820" s="245">
        <v>2.8</v>
      </c>
      <c r="J820" s="245">
        <v>10.6</v>
      </c>
      <c r="K820" s="245">
        <v>15.3</v>
      </c>
      <c r="L820" s="245">
        <v>17</v>
      </c>
      <c r="M820" s="245">
        <v>14.8</v>
      </c>
      <c r="N820" s="245">
        <v>9.3000000000000007</v>
      </c>
      <c r="O820" s="245">
        <v>1.1000000000000001</v>
      </c>
      <c r="P820" s="245">
        <v>-6.7</v>
      </c>
      <c r="Q820" s="245">
        <v>-12.6</v>
      </c>
      <c r="R820" s="246">
        <v>1.2</v>
      </c>
      <c r="S820" s="233">
        <v>48</v>
      </c>
      <c r="T820" s="247" t="s">
        <v>1470</v>
      </c>
      <c r="U820" s="245">
        <v>-42</v>
      </c>
      <c r="V820" s="245">
        <v>-39</v>
      </c>
      <c r="W820" s="245">
        <v>-39</v>
      </c>
      <c r="X820" s="245">
        <v>-36</v>
      </c>
      <c r="Y820" s="245">
        <v>-21</v>
      </c>
      <c r="Z820" s="245">
        <v>-50</v>
      </c>
      <c r="AA820" s="245">
        <v>7.7</v>
      </c>
      <c r="AB820" s="245">
        <v>169</v>
      </c>
      <c r="AC820" s="245">
        <v>-9.9</v>
      </c>
      <c r="AD820" s="245">
        <v>228</v>
      </c>
      <c r="AE820" s="245">
        <v>-6.3</v>
      </c>
      <c r="AF820" s="245">
        <v>244</v>
      </c>
      <c r="AG820" s="245">
        <v>-5.2</v>
      </c>
      <c r="AH820" s="245">
        <v>80</v>
      </c>
      <c r="AI820" s="245">
        <v>77</v>
      </c>
      <c r="AJ820" s="245">
        <v>120</v>
      </c>
      <c r="AK820" s="245" t="s">
        <v>971</v>
      </c>
      <c r="AL820" s="245" t="s">
        <v>931</v>
      </c>
      <c r="AM820" s="246">
        <v>3.6</v>
      </c>
      <c r="AN820" s="235">
        <v>48</v>
      </c>
      <c r="AO820" s="247" t="s">
        <v>1471</v>
      </c>
      <c r="AP820" s="247">
        <v>970</v>
      </c>
      <c r="AQ820" s="247">
        <v>20.399999999999999</v>
      </c>
      <c r="AR820" s="247">
        <v>24.7</v>
      </c>
      <c r="AS820" s="247">
        <v>22.8</v>
      </c>
      <c r="AT820" s="247">
        <v>38</v>
      </c>
      <c r="AU820" s="247">
        <v>11.5</v>
      </c>
      <c r="AV820" s="247">
        <v>74</v>
      </c>
      <c r="AW820" s="247">
        <v>58</v>
      </c>
      <c r="AX820" s="247">
        <v>386</v>
      </c>
      <c r="AY820" s="247">
        <v>72</v>
      </c>
      <c r="AZ820" s="247" t="s">
        <v>1005</v>
      </c>
      <c r="BA820" s="248" t="s">
        <v>934</v>
      </c>
      <c r="BB820" s="235">
        <v>34</v>
      </c>
      <c r="BC820" s="247" t="s">
        <v>1469</v>
      </c>
      <c r="BD820" s="247">
        <v>1.8</v>
      </c>
      <c r="BE820" s="247">
        <v>1.9</v>
      </c>
      <c r="BF820" s="247">
        <v>2.9</v>
      </c>
      <c r="BG820" s="247">
        <v>5.3</v>
      </c>
      <c r="BH820" s="247">
        <v>7.6</v>
      </c>
      <c r="BI820" s="247">
        <v>11.4</v>
      </c>
      <c r="BJ820" s="247">
        <v>14.3</v>
      </c>
      <c r="BK820" s="247">
        <v>12.7</v>
      </c>
      <c r="BL820" s="247">
        <v>8.9</v>
      </c>
      <c r="BM820" s="247">
        <v>5.5</v>
      </c>
      <c r="BN820" s="247">
        <v>3.5</v>
      </c>
      <c r="BO820" s="247">
        <v>2.2999999999999998</v>
      </c>
      <c r="BP820" s="248">
        <v>6.5</v>
      </c>
    </row>
    <row r="821" spans="1:68" ht="14.25" customHeight="1">
      <c r="A821" s="233">
        <v>164</v>
      </c>
      <c r="B821" s="234">
        <v>179</v>
      </c>
      <c r="C821" s="244" t="s">
        <v>928</v>
      </c>
      <c r="D821" s="244" t="s">
        <v>935</v>
      </c>
      <c r="E821" s="244" t="s">
        <v>1472</v>
      </c>
      <c r="F821" s="245">
        <v>-28</v>
      </c>
      <c r="G821" s="245">
        <v>-26.9</v>
      </c>
      <c r="H821" s="245">
        <v>-22.8</v>
      </c>
      <c r="I821" s="245">
        <v>-15</v>
      </c>
      <c r="J821" s="245">
        <v>-5.9</v>
      </c>
      <c r="K821" s="245">
        <v>5.0999999999999996</v>
      </c>
      <c r="L821" s="245">
        <v>13.2</v>
      </c>
      <c r="M821" s="245">
        <v>10.5</v>
      </c>
      <c r="N821" s="245">
        <v>3.8</v>
      </c>
      <c r="O821" s="245">
        <v>-8.1999999999999993</v>
      </c>
      <c r="P821" s="245">
        <v>-21.1</v>
      </c>
      <c r="Q821" s="245">
        <v>-25.6</v>
      </c>
      <c r="R821" s="246">
        <v>-10.1</v>
      </c>
      <c r="S821" s="233">
        <v>179</v>
      </c>
      <c r="T821" s="247" t="s">
        <v>1473</v>
      </c>
      <c r="U821" s="245">
        <v>-53</v>
      </c>
      <c r="V821" s="245">
        <v>-51</v>
      </c>
      <c r="W821" s="245">
        <v>-48</v>
      </c>
      <c r="X821" s="245">
        <v>-47</v>
      </c>
      <c r="Y821" s="245">
        <v>-33</v>
      </c>
      <c r="Z821" s="245">
        <v>-57</v>
      </c>
      <c r="AA821" s="245">
        <v>8.9</v>
      </c>
      <c r="AB821" s="245">
        <v>249</v>
      </c>
      <c r="AC821" s="245">
        <v>-18.3</v>
      </c>
      <c r="AD821" s="245">
        <v>303</v>
      </c>
      <c r="AE821" s="245">
        <v>-14.3</v>
      </c>
      <c r="AF821" s="245">
        <v>320</v>
      </c>
      <c r="AG821" s="245">
        <v>-13.1</v>
      </c>
      <c r="AH821" s="245">
        <v>76</v>
      </c>
      <c r="AI821" s="245">
        <v>76</v>
      </c>
      <c r="AJ821" s="245">
        <v>136</v>
      </c>
      <c r="AK821" s="245" t="s">
        <v>990</v>
      </c>
      <c r="AL821" s="245">
        <v>7.7</v>
      </c>
      <c r="AM821" s="246">
        <v>5.5</v>
      </c>
      <c r="AN821" s="235">
        <v>179</v>
      </c>
      <c r="AO821" s="247" t="s">
        <v>1474</v>
      </c>
      <c r="AP821" s="247">
        <v>1005</v>
      </c>
      <c r="AQ821" s="247">
        <v>15.7</v>
      </c>
      <c r="AR821" s="247">
        <v>20.399999999999999</v>
      </c>
      <c r="AS821" s="247">
        <v>18.100000000000001</v>
      </c>
      <c r="AT821" s="247">
        <v>32</v>
      </c>
      <c r="AU821" s="247">
        <v>9</v>
      </c>
      <c r="AV821" s="247">
        <v>71</v>
      </c>
      <c r="AW821" s="247">
        <v>64</v>
      </c>
      <c r="AX821" s="247">
        <v>314</v>
      </c>
      <c r="AY821" s="247">
        <v>48</v>
      </c>
      <c r="AZ821" s="247" t="s">
        <v>1005</v>
      </c>
      <c r="BA821" s="248">
        <v>4</v>
      </c>
      <c r="BB821" s="235">
        <v>157</v>
      </c>
      <c r="BC821" s="247" t="s">
        <v>1472</v>
      </c>
      <c r="BD821" s="247">
        <v>0.7</v>
      </c>
      <c r="BE821" s="247">
        <v>0.7</v>
      </c>
      <c r="BF821" s="247">
        <v>1.1000000000000001</v>
      </c>
      <c r="BG821" s="247">
        <v>2</v>
      </c>
      <c r="BH821" s="247">
        <v>3.5</v>
      </c>
      <c r="BI821" s="247">
        <v>7.2</v>
      </c>
      <c r="BJ821" s="247">
        <v>11.2</v>
      </c>
      <c r="BK821" s="247">
        <v>9.9</v>
      </c>
      <c r="BL821" s="247">
        <v>7</v>
      </c>
      <c r="BM821" s="247">
        <v>3.3</v>
      </c>
      <c r="BN821" s="247">
        <v>1.2</v>
      </c>
      <c r="BO821" s="247">
        <v>0.9</v>
      </c>
      <c r="BP821" s="248">
        <v>4.0999999999999996</v>
      </c>
    </row>
    <row r="822" spans="1:68" ht="14.25" customHeight="1">
      <c r="A822" s="233">
        <v>165</v>
      </c>
      <c r="B822" s="234">
        <v>571</v>
      </c>
      <c r="C822" s="244" t="s">
        <v>1353</v>
      </c>
      <c r="D822" s="244" t="s">
        <v>1354</v>
      </c>
      <c r="E822" s="244" t="s">
        <v>1475</v>
      </c>
      <c r="F822" s="245">
        <v>2</v>
      </c>
      <c r="G822" s="245">
        <v>4.0999999999999996</v>
      </c>
      <c r="H822" s="245">
        <v>9.1</v>
      </c>
      <c r="I822" s="245">
        <v>15.4</v>
      </c>
      <c r="J822" s="245">
        <v>19.7</v>
      </c>
      <c r="K822" s="245">
        <v>24.7</v>
      </c>
      <c r="L822" s="245">
        <v>26.8</v>
      </c>
      <c r="M822" s="245">
        <v>24.6</v>
      </c>
      <c r="N822" s="245">
        <v>19.8</v>
      </c>
      <c r="O822" s="245">
        <v>13.9</v>
      </c>
      <c r="P822" s="245">
        <v>8.3000000000000007</v>
      </c>
      <c r="Q822" s="245">
        <v>4</v>
      </c>
      <c r="R822" s="246">
        <v>14.4</v>
      </c>
      <c r="S822" s="251"/>
      <c r="T822" s="247" t="s">
        <v>1476</v>
      </c>
      <c r="U822" s="247"/>
      <c r="V822" s="247"/>
      <c r="W822" s="247"/>
      <c r="X822" s="247"/>
      <c r="Y822" s="247"/>
      <c r="Z822" s="247"/>
      <c r="AA822" s="247"/>
      <c r="AB822" s="247"/>
      <c r="AC822" s="247"/>
      <c r="AD822" s="247"/>
      <c r="AE822" s="247"/>
      <c r="AF822" s="247"/>
      <c r="AG822" s="247"/>
      <c r="AH822" s="247"/>
      <c r="AI822" s="247"/>
      <c r="AJ822" s="247"/>
      <c r="AK822" s="247"/>
      <c r="AL822" s="247"/>
      <c r="AM822" s="248"/>
      <c r="AN822" s="235">
        <v>550</v>
      </c>
      <c r="AO822" s="247" t="s">
        <v>1477</v>
      </c>
      <c r="AP822" s="247">
        <v>795</v>
      </c>
      <c r="AQ822" s="247">
        <v>38</v>
      </c>
      <c r="AR822" s="247">
        <v>34</v>
      </c>
      <c r="AS822" s="247">
        <v>33.9</v>
      </c>
      <c r="AT822" s="247">
        <v>43</v>
      </c>
      <c r="AU822" s="247" t="s">
        <v>934</v>
      </c>
      <c r="AV822" s="247">
        <v>17.8</v>
      </c>
      <c r="AW822" s="247">
        <v>24</v>
      </c>
      <c r="AX822" s="247">
        <v>247</v>
      </c>
      <c r="AY822" s="247">
        <v>24</v>
      </c>
      <c r="AZ822" s="247" t="s">
        <v>952</v>
      </c>
      <c r="BA822" s="248">
        <v>1.3</v>
      </c>
      <c r="BB822" s="235"/>
      <c r="BC822" s="247" t="s">
        <v>1475</v>
      </c>
      <c r="BD822" s="247"/>
      <c r="BE822" s="247"/>
      <c r="BF822" s="247"/>
      <c r="BG822" s="247"/>
      <c r="BH822" s="247"/>
      <c r="BI822" s="247"/>
      <c r="BJ822" s="247"/>
      <c r="BK822" s="247"/>
      <c r="BL822" s="247"/>
      <c r="BM822" s="247"/>
      <c r="BN822" s="247"/>
      <c r="BO822" s="247"/>
      <c r="BP822" s="248"/>
    </row>
    <row r="823" spans="1:68" ht="14.25" customHeight="1">
      <c r="A823" s="233">
        <v>166</v>
      </c>
      <c r="B823" s="234">
        <v>279</v>
      </c>
      <c r="C823" s="244" t="s">
        <v>928</v>
      </c>
      <c r="D823" s="244" t="s">
        <v>1290</v>
      </c>
      <c r="E823" s="244" t="s">
        <v>159</v>
      </c>
      <c r="F823" s="245">
        <v>-15.5</v>
      </c>
      <c r="G823" s="245">
        <v>-13.6</v>
      </c>
      <c r="H823" s="245">
        <v>-6.9</v>
      </c>
      <c r="I823" s="245">
        <v>2.7</v>
      </c>
      <c r="J823" s="245">
        <v>10</v>
      </c>
      <c r="K823" s="245">
        <v>15.1</v>
      </c>
      <c r="L823" s="245">
        <v>17.2</v>
      </c>
      <c r="M823" s="245">
        <v>14.9</v>
      </c>
      <c r="N823" s="245">
        <v>9.1999999999999993</v>
      </c>
      <c r="O823" s="245">
        <v>1.2</v>
      </c>
      <c r="P823" s="245">
        <v>-6.8</v>
      </c>
      <c r="Q823" s="245">
        <v>-13.1</v>
      </c>
      <c r="R823" s="246">
        <v>1.2</v>
      </c>
      <c r="S823" s="233">
        <v>279</v>
      </c>
      <c r="T823" s="247" t="s">
        <v>1478</v>
      </c>
      <c r="U823" s="245">
        <v>-42</v>
      </c>
      <c r="V823" s="245">
        <v>-40</v>
      </c>
      <c r="W823" s="245">
        <v>-38</v>
      </c>
      <c r="X823" s="245">
        <v>-35</v>
      </c>
      <c r="Y823" s="245">
        <v>-20</v>
      </c>
      <c r="Z823" s="245">
        <v>-47</v>
      </c>
      <c r="AA823" s="245">
        <v>7.1</v>
      </c>
      <c r="AB823" s="245">
        <v>168</v>
      </c>
      <c r="AC823" s="245">
        <v>-9.6999999999999993</v>
      </c>
      <c r="AD823" s="245">
        <v>230</v>
      </c>
      <c r="AE823" s="245">
        <v>-6</v>
      </c>
      <c r="AF823" s="245">
        <v>245</v>
      </c>
      <c r="AG823" s="245">
        <v>-5.3</v>
      </c>
      <c r="AH823" s="245">
        <v>79</v>
      </c>
      <c r="AI823" s="245">
        <v>73</v>
      </c>
      <c r="AJ823" s="245">
        <v>114</v>
      </c>
      <c r="AK823" s="245" t="s">
        <v>950</v>
      </c>
      <c r="AL823" s="245">
        <v>5</v>
      </c>
      <c r="AM823" s="246">
        <v>3.7</v>
      </c>
      <c r="AN823" s="235">
        <v>297</v>
      </c>
      <c r="AO823" s="247" t="s">
        <v>1479</v>
      </c>
      <c r="AP823" s="247">
        <v>980</v>
      </c>
      <c r="AQ823" s="247">
        <v>22</v>
      </c>
      <c r="AR823" s="247">
        <v>25.6</v>
      </c>
      <c r="AS823" s="247">
        <v>23.1</v>
      </c>
      <c r="AT823" s="247">
        <v>38</v>
      </c>
      <c r="AU823" s="247">
        <v>10.6</v>
      </c>
      <c r="AV823" s="247">
        <v>68</v>
      </c>
      <c r="AW823" s="247">
        <v>56</v>
      </c>
      <c r="AX823" s="247">
        <v>383</v>
      </c>
      <c r="AY823" s="247">
        <v>94</v>
      </c>
      <c r="AZ823" s="247" t="s">
        <v>952</v>
      </c>
      <c r="BA823" s="248">
        <v>4</v>
      </c>
      <c r="BB823" s="235">
        <v>268</v>
      </c>
      <c r="BC823" s="247" t="s">
        <v>159</v>
      </c>
      <c r="BD823" s="247">
        <v>1.8</v>
      </c>
      <c r="BE823" s="247">
        <v>1.9</v>
      </c>
      <c r="BF823" s="247">
        <v>2.8</v>
      </c>
      <c r="BG823" s="247">
        <v>4.9000000000000004</v>
      </c>
      <c r="BH823" s="247">
        <v>7.1</v>
      </c>
      <c r="BI823" s="247">
        <v>10.9</v>
      </c>
      <c r="BJ823" s="247">
        <v>13.7</v>
      </c>
      <c r="BK823" s="247">
        <v>12.3</v>
      </c>
      <c r="BL823" s="247">
        <v>8.8000000000000007</v>
      </c>
      <c r="BM823" s="247">
        <v>5.3</v>
      </c>
      <c r="BN823" s="247">
        <v>3.3</v>
      </c>
      <c r="BO823" s="247">
        <v>2.2000000000000002</v>
      </c>
      <c r="BP823" s="248">
        <v>6.3</v>
      </c>
    </row>
    <row r="824" spans="1:68" ht="14.25" customHeight="1">
      <c r="A824" s="233">
        <v>167</v>
      </c>
      <c r="B824" s="234">
        <v>355</v>
      </c>
      <c r="C824" s="244" t="s">
        <v>928</v>
      </c>
      <c r="D824" s="244" t="s">
        <v>1081</v>
      </c>
      <c r="E824" s="244" t="s">
        <v>1480</v>
      </c>
      <c r="F824" s="245">
        <v>-21.2</v>
      </c>
      <c r="G824" s="245">
        <v>-16.3</v>
      </c>
      <c r="H824" s="245">
        <v>-7.7</v>
      </c>
      <c r="I824" s="245">
        <v>3.5</v>
      </c>
      <c r="J824" s="245">
        <v>11</v>
      </c>
      <c r="K824" s="245">
        <v>17.100000000000001</v>
      </c>
      <c r="L824" s="245">
        <v>21</v>
      </c>
      <c r="M824" s="245">
        <v>19.600000000000001</v>
      </c>
      <c r="N824" s="245">
        <v>13.1</v>
      </c>
      <c r="O824" s="245">
        <v>3.9</v>
      </c>
      <c r="P824" s="245">
        <v>-8.3000000000000007</v>
      </c>
      <c r="Q824" s="245">
        <v>-18.3</v>
      </c>
      <c r="R824" s="246">
        <v>1.4</v>
      </c>
      <c r="S824" s="233">
        <v>355</v>
      </c>
      <c r="T824" s="247" t="s">
        <v>1481</v>
      </c>
      <c r="U824" s="245">
        <v>-34</v>
      </c>
      <c r="V824" s="245">
        <v>-32</v>
      </c>
      <c r="W824" s="245">
        <v>-32</v>
      </c>
      <c r="X824" s="245">
        <v>-30</v>
      </c>
      <c r="Y824" s="245">
        <v>-26</v>
      </c>
      <c r="Z824" s="245">
        <v>-43</v>
      </c>
      <c r="AA824" s="245">
        <v>10.7</v>
      </c>
      <c r="AB824" s="245">
        <v>162</v>
      </c>
      <c r="AC824" s="245">
        <v>-12.9</v>
      </c>
      <c r="AD824" s="245">
        <v>213</v>
      </c>
      <c r="AE824" s="245">
        <v>-8.8000000000000007</v>
      </c>
      <c r="AF824" s="245">
        <v>228</v>
      </c>
      <c r="AG824" s="245">
        <v>-7.6</v>
      </c>
      <c r="AH824" s="245">
        <v>70</v>
      </c>
      <c r="AI824" s="245">
        <v>62</v>
      </c>
      <c r="AJ824" s="245">
        <v>57</v>
      </c>
      <c r="AK824" s="245" t="s">
        <v>944</v>
      </c>
      <c r="AL824" s="245">
        <v>7.9</v>
      </c>
      <c r="AM824" s="246">
        <v>4.5</v>
      </c>
      <c r="AN824" s="235">
        <v>355</v>
      </c>
      <c r="AO824" s="247" t="s">
        <v>1482</v>
      </c>
      <c r="AP824" s="247">
        <v>1000</v>
      </c>
      <c r="AQ824" s="247">
        <v>24.1</v>
      </c>
      <c r="AR824" s="247">
        <v>28.2</v>
      </c>
      <c r="AS824" s="247">
        <v>26.5</v>
      </c>
      <c r="AT824" s="247">
        <v>40</v>
      </c>
      <c r="AU824" s="247">
        <v>9.8000000000000007</v>
      </c>
      <c r="AV824" s="247">
        <v>82</v>
      </c>
      <c r="AW824" s="247">
        <v>67</v>
      </c>
      <c r="AX824" s="247">
        <v>619</v>
      </c>
      <c r="AY824" s="247">
        <v>163</v>
      </c>
      <c r="AZ824" s="247" t="s">
        <v>940</v>
      </c>
      <c r="BA824" s="248">
        <v>0</v>
      </c>
      <c r="BB824" s="235">
        <v>320</v>
      </c>
      <c r="BC824" s="247" t="s">
        <v>1480</v>
      </c>
      <c r="BD824" s="247">
        <v>0.9</v>
      </c>
      <c r="BE824" s="247">
        <v>1.2</v>
      </c>
      <c r="BF824" s="247">
        <v>2.2999999999999998</v>
      </c>
      <c r="BG824" s="247">
        <v>4.7</v>
      </c>
      <c r="BH824" s="247">
        <v>8.1999999999999993</v>
      </c>
      <c r="BI824" s="247">
        <v>15</v>
      </c>
      <c r="BJ824" s="247">
        <v>20.399999999999999</v>
      </c>
      <c r="BK824" s="247">
        <v>19.2</v>
      </c>
      <c r="BL824" s="247">
        <v>11.8</v>
      </c>
      <c r="BM824" s="247">
        <v>5.4</v>
      </c>
      <c r="BN824" s="247">
        <v>2.2999999999999998</v>
      </c>
      <c r="BO824" s="247">
        <v>1.1000000000000001</v>
      </c>
      <c r="BP824" s="248">
        <v>7.7</v>
      </c>
    </row>
    <row r="825" spans="1:68" ht="14.25" customHeight="1">
      <c r="A825" s="233">
        <v>168</v>
      </c>
      <c r="B825" s="234">
        <v>414</v>
      </c>
      <c r="C825" s="244" t="s">
        <v>928</v>
      </c>
      <c r="D825" s="244" t="s">
        <v>969</v>
      </c>
      <c r="E825" s="244" t="s">
        <v>1483</v>
      </c>
      <c r="F825" s="245">
        <v>-45.9</v>
      </c>
      <c r="G825" s="245">
        <v>-41.8</v>
      </c>
      <c r="H825" s="245">
        <v>-29.2</v>
      </c>
      <c r="I825" s="245">
        <v>-13.1</v>
      </c>
      <c r="J825" s="245">
        <v>2.2000000000000002</v>
      </c>
      <c r="K825" s="245">
        <v>12.5</v>
      </c>
      <c r="L825" s="245">
        <v>14.6</v>
      </c>
      <c r="M825" s="245">
        <v>10.5</v>
      </c>
      <c r="N825" s="245">
        <v>2.1</v>
      </c>
      <c r="O825" s="245">
        <v>-13.9</v>
      </c>
      <c r="P825" s="245">
        <v>-35.5</v>
      </c>
      <c r="Q825" s="245">
        <v>-43.2</v>
      </c>
      <c r="R825" s="246">
        <v>-15.1</v>
      </c>
      <c r="S825" s="233">
        <v>414</v>
      </c>
      <c r="T825" s="247" t="s">
        <v>1483</v>
      </c>
      <c r="U825" s="245">
        <v>-62</v>
      </c>
      <c r="V825" s="245">
        <v>-60</v>
      </c>
      <c r="W825" s="245">
        <v>-61</v>
      </c>
      <c r="X825" s="245">
        <v>-58</v>
      </c>
      <c r="Y825" s="245">
        <v>-51</v>
      </c>
      <c r="Z825" s="245">
        <v>-65</v>
      </c>
      <c r="AA825" s="245">
        <v>7</v>
      </c>
      <c r="AB825" s="245">
        <v>234</v>
      </c>
      <c r="AC825" s="245">
        <v>-28.5</v>
      </c>
      <c r="AD825" s="245">
        <v>281</v>
      </c>
      <c r="AE825" s="245">
        <v>-23</v>
      </c>
      <c r="AF825" s="245">
        <v>294</v>
      </c>
      <c r="AG825" s="245">
        <v>-21.6</v>
      </c>
      <c r="AH825" s="245">
        <v>74</v>
      </c>
      <c r="AI825" s="245">
        <v>74</v>
      </c>
      <c r="AJ825" s="245">
        <v>31</v>
      </c>
      <c r="AK825" s="245" t="s">
        <v>971</v>
      </c>
      <c r="AL825" s="245" t="s">
        <v>931</v>
      </c>
      <c r="AM825" s="246">
        <v>1.1000000000000001</v>
      </c>
      <c r="AN825" s="235">
        <v>414</v>
      </c>
      <c r="AO825" s="247" t="s">
        <v>1484</v>
      </c>
      <c r="AP825" s="247">
        <v>985</v>
      </c>
      <c r="AQ825" s="247">
        <v>19.899999999999999</v>
      </c>
      <c r="AR825" s="247">
        <v>24.2</v>
      </c>
      <c r="AS825" s="247">
        <v>22.3</v>
      </c>
      <c r="AT825" s="247">
        <v>36</v>
      </c>
      <c r="AU825" s="247">
        <v>15.7</v>
      </c>
      <c r="AV825" s="247">
        <v>64</v>
      </c>
      <c r="AW825" s="247">
        <v>50</v>
      </c>
      <c r="AX825" s="247">
        <v>158</v>
      </c>
      <c r="AY825" s="247">
        <v>50</v>
      </c>
      <c r="AZ825" s="247" t="s">
        <v>1005</v>
      </c>
      <c r="BA825" s="248" t="s">
        <v>934</v>
      </c>
      <c r="BB825" s="235">
        <v>378</v>
      </c>
      <c r="BC825" s="247" t="s">
        <v>1483</v>
      </c>
      <c r="BD825" s="247">
        <v>0.1</v>
      </c>
      <c r="BE825" s="247">
        <v>0.2</v>
      </c>
      <c r="BF825" s="247">
        <v>0.5</v>
      </c>
      <c r="BG825" s="247">
        <v>1.6</v>
      </c>
      <c r="BH825" s="247">
        <v>4.0999999999999996</v>
      </c>
      <c r="BI825" s="247">
        <v>8.1</v>
      </c>
      <c r="BJ825" s="247">
        <v>10.3</v>
      </c>
      <c r="BK825" s="247">
        <v>8.9</v>
      </c>
      <c r="BL825" s="247">
        <v>5.0999999999999996</v>
      </c>
      <c r="BM825" s="247">
        <v>1.9</v>
      </c>
      <c r="BN825" s="247">
        <v>0.4</v>
      </c>
      <c r="BO825" s="247">
        <v>0.2</v>
      </c>
      <c r="BP825" s="248">
        <v>3.5</v>
      </c>
    </row>
    <row r="826" spans="1:68" ht="14.25" customHeight="1">
      <c r="A826" s="233">
        <v>169</v>
      </c>
      <c r="B826" s="234">
        <v>312</v>
      </c>
      <c r="C826" s="244" t="s">
        <v>928</v>
      </c>
      <c r="D826" s="244" t="s">
        <v>1232</v>
      </c>
      <c r="E826" s="244" t="s">
        <v>1485</v>
      </c>
      <c r="F826" s="245">
        <v>-13.9</v>
      </c>
      <c r="G826" s="245">
        <v>-13.2</v>
      </c>
      <c r="H826" s="245">
        <v>-6.6</v>
      </c>
      <c r="I826" s="245">
        <v>3.8</v>
      </c>
      <c r="J826" s="245">
        <v>12.4</v>
      </c>
      <c r="K826" s="245">
        <v>17.399999999999999</v>
      </c>
      <c r="L826" s="245">
        <v>19.5</v>
      </c>
      <c r="M826" s="245">
        <v>17.5</v>
      </c>
      <c r="N826" s="245">
        <v>11.2</v>
      </c>
      <c r="O826" s="245">
        <v>3.2</v>
      </c>
      <c r="P826" s="245">
        <v>-4.4000000000000004</v>
      </c>
      <c r="Q826" s="245">
        <v>-11.1</v>
      </c>
      <c r="R826" s="246">
        <v>3</v>
      </c>
      <c r="S826" s="233">
        <v>312</v>
      </c>
      <c r="T826" s="247" t="s">
        <v>1486</v>
      </c>
      <c r="U826" s="245">
        <v>-42</v>
      </c>
      <c r="V826" s="245">
        <v>-38</v>
      </c>
      <c r="W826" s="245">
        <v>-38</v>
      </c>
      <c r="X826" s="245">
        <v>-34</v>
      </c>
      <c r="Y826" s="245">
        <v>-19</v>
      </c>
      <c r="Z826" s="245">
        <v>-47</v>
      </c>
      <c r="AA826" s="245">
        <v>7.7</v>
      </c>
      <c r="AB826" s="245">
        <v>158</v>
      </c>
      <c r="AC826" s="245">
        <v>-9</v>
      </c>
      <c r="AD826" s="245">
        <v>215</v>
      </c>
      <c r="AE826" s="245">
        <v>-5.5</v>
      </c>
      <c r="AF826" s="245">
        <v>229</v>
      </c>
      <c r="AG826" s="245">
        <v>-4.5999999999999996</v>
      </c>
      <c r="AH826" s="245">
        <v>81</v>
      </c>
      <c r="AI826" s="245">
        <v>80</v>
      </c>
      <c r="AJ826" s="245">
        <v>173</v>
      </c>
      <c r="AK826" s="245" t="s">
        <v>971</v>
      </c>
      <c r="AL826" s="245">
        <v>4.7</v>
      </c>
      <c r="AM826" s="246">
        <v>3.6</v>
      </c>
      <c r="AN826" s="235">
        <v>312</v>
      </c>
      <c r="AO826" s="247" t="s">
        <v>1487</v>
      </c>
      <c r="AP826" s="247">
        <v>1000</v>
      </c>
      <c r="AQ826" s="247">
        <v>29.9</v>
      </c>
      <c r="AR826" s="247">
        <v>27</v>
      </c>
      <c r="AS826" s="247">
        <v>25.3</v>
      </c>
      <c r="AT826" s="247">
        <v>40</v>
      </c>
      <c r="AU826" s="247">
        <v>11.3</v>
      </c>
      <c r="AV826" s="247">
        <v>67</v>
      </c>
      <c r="AW826" s="247">
        <v>51</v>
      </c>
      <c r="AX826" s="247">
        <v>354</v>
      </c>
      <c r="AY826" s="247">
        <v>68</v>
      </c>
      <c r="AZ826" s="247" t="s">
        <v>959</v>
      </c>
      <c r="BA826" s="248">
        <v>3.7</v>
      </c>
      <c r="BB826" s="235">
        <v>280</v>
      </c>
      <c r="BC826" s="247" t="s">
        <v>1485</v>
      </c>
      <c r="BD826" s="247">
        <v>2.1</v>
      </c>
      <c r="BE826" s="247">
        <v>2.1</v>
      </c>
      <c r="BF826" s="247">
        <v>3.3</v>
      </c>
      <c r="BG826" s="247">
        <v>6.1</v>
      </c>
      <c r="BH826" s="247">
        <v>8.6999999999999993</v>
      </c>
      <c r="BI826" s="247">
        <v>12.2</v>
      </c>
      <c r="BJ826" s="247">
        <v>14.8</v>
      </c>
      <c r="BK826" s="247">
        <v>13.4</v>
      </c>
      <c r="BL826" s="247">
        <v>9.6999999999999993</v>
      </c>
      <c r="BM826" s="247">
        <v>6.3</v>
      </c>
      <c r="BN826" s="247">
        <v>4.0999999999999996</v>
      </c>
      <c r="BO826" s="247">
        <v>2.7</v>
      </c>
      <c r="BP826" s="248">
        <v>7.1</v>
      </c>
    </row>
    <row r="827" spans="1:68" ht="14.25" customHeight="1">
      <c r="A827" s="233">
        <v>170</v>
      </c>
      <c r="B827" s="234">
        <v>40</v>
      </c>
      <c r="C827" s="244" t="s">
        <v>928</v>
      </c>
      <c r="D827" s="244" t="s">
        <v>1043</v>
      </c>
      <c r="E827" s="244" t="s">
        <v>1488</v>
      </c>
      <c r="F827" s="245">
        <v>-14.1</v>
      </c>
      <c r="G827" s="245">
        <v>-12.8</v>
      </c>
      <c r="H827" s="245">
        <v>-7.3</v>
      </c>
      <c r="I827" s="245">
        <v>-0.1</v>
      </c>
      <c r="J827" s="245">
        <v>6.6</v>
      </c>
      <c r="K827" s="245">
        <v>13.4</v>
      </c>
      <c r="L827" s="245">
        <v>16.100000000000001</v>
      </c>
      <c r="M827" s="245">
        <v>13.9</v>
      </c>
      <c r="N827" s="245">
        <v>8</v>
      </c>
      <c r="O827" s="245">
        <v>1.2</v>
      </c>
      <c r="P827" s="245">
        <v>-4.5</v>
      </c>
      <c r="Q827" s="245">
        <v>-10.199999999999999</v>
      </c>
      <c r="R827" s="246">
        <v>0.9</v>
      </c>
      <c r="S827" s="233">
        <v>40</v>
      </c>
      <c r="T827" s="247" t="s">
        <v>1489</v>
      </c>
      <c r="U827" s="245">
        <v>-39</v>
      </c>
      <c r="V827" s="245">
        <v>-38</v>
      </c>
      <c r="W827" s="245">
        <v>-35</v>
      </c>
      <c r="X827" s="245">
        <v>-33</v>
      </c>
      <c r="Y827" s="245">
        <v>-19</v>
      </c>
      <c r="Z827" s="245">
        <v>-48</v>
      </c>
      <c r="AA827" s="245">
        <v>7.6</v>
      </c>
      <c r="AB827" s="245">
        <v>175</v>
      </c>
      <c r="AC827" s="245">
        <v>-8.3000000000000007</v>
      </c>
      <c r="AD827" s="245">
        <v>249</v>
      </c>
      <c r="AE827" s="245">
        <v>-4.7</v>
      </c>
      <c r="AF827" s="245">
        <v>268</v>
      </c>
      <c r="AG827" s="245">
        <v>-3.7</v>
      </c>
      <c r="AH827" s="245">
        <v>85</v>
      </c>
      <c r="AI827" s="245">
        <v>85</v>
      </c>
      <c r="AJ827" s="245">
        <v>150</v>
      </c>
      <c r="AK827" s="245" t="s">
        <v>990</v>
      </c>
      <c r="AL827" s="245" t="s">
        <v>931</v>
      </c>
      <c r="AM827" s="246">
        <v>3.9</v>
      </c>
      <c r="AN827" s="235">
        <v>40</v>
      </c>
      <c r="AO827" s="247" t="s">
        <v>1490</v>
      </c>
      <c r="AP827" s="247">
        <v>1010</v>
      </c>
      <c r="AQ827" s="247">
        <v>19.399999999999999</v>
      </c>
      <c r="AR827" s="247">
        <v>23.7</v>
      </c>
      <c r="AS827" s="247">
        <v>21.8</v>
      </c>
      <c r="AT827" s="247">
        <v>35</v>
      </c>
      <c r="AU827" s="247">
        <v>10.7</v>
      </c>
      <c r="AV827" s="247">
        <v>72</v>
      </c>
      <c r="AW827" s="247">
        <v>58</v>
      </c>
      <c r="AX827" s="247">
        <v>366</v>
      </c>
      <c r="AY827" s="247">
        <v>53</v>
      </c>
      <c r="AZ827" s="247" t="s">
        <v>1005</v>
      </c>
      <c r="BA827" s="248" t="s">
        <v>934</v>
      </c>
      <c r="BB827" s="235">
        <v>26</v>
      </c>
      <c r="BC827" s="247" t="s">
        <v>1488</v>
      </c>
      <c r="BD827" s="247">
        <v>2.2999999999999998</v>
      </c>
      <c r="BE827" s="247">
        <v>2.2999999999999998</v>
      </c>
      <c r="BF827" s="247">
        <v>3.2</v>
      </c>
      <c r="BG827" s="247">
        <v>4.5999999999999996</v>
      </c>
      <c r="BH827" s="247">
        <v>6.7</v>
      </c>
      <c r="BI827" s="247">
        <v>10.4</v>
      </c>
      <c r="BJ827" s="247">
        <v>13.2</v>
      </c>
      <c r="BK827" s="247">
        <v>12.6</v>
      </c>
      <c r="BL827" s="247">
        <v>9.1999999999999993</v>
      </c>
      <c r="BM827" s="247">
        <v>6.1</v>
      </c>
      <c r="BN827" s="247">
        <v>4.2</v>
      </c>
      <c r="BO827" s="247">
        <v>3</v>
      </c>
      <c r="BP827" s="248">
        <v>6.5</v>
      </c>
    </row>
    <row r="828" spans="1:68" ht="14.25" customHeight="1">
      <c r="A828" s="233">
        <v>171</v>
      </c>
      <c r="B828" s="234">
        <v>180</v>
      </c>
      <c r="C828" s="244" t="s">
        <v>928</v>
      </c>
      <c r="D828" s="244" t="s">
        <v>935</v>
      </c>
      <c r="E828" s="244" t="s">
        <v>1491</v>
      </c>
      <c r="F828" s="245">
        <v>-22</v>
      </c>
      <c r="G828" s="245">
        <v>-19.5</v>
      </c>
      <c r="H828" s="245">
        <v>-10.7</v>
      </c>
      <c r="I828" s="245">
        <v>-0.9</v>
      </c>
      <c r="J828" s="245">
        <v>7.1</v>
      </c>
      <c r="K828" s="245">
        <v>15.1</v>
      </c>
      <c r="L828" s="245">
        <v>18.5</v>
      </c>
      <c r="M828" s="245">
        <v>14.9</v>
      </c>
      <c r="N828" s="245">
        <v>8.1999999999999993</v>
      </c>
      <c r="O828" s="245">
        <v>-0.5</v>
      </c>
      <c r="P828" s="245">
        <v>-12.3</v>
      </c>
      <c r="Q828" s="245">
        <v>-20.7</v>
      </c>
      <c r="R828" s="246">
        <v>-1.9</v>
      </c>
      <c r="S828" s="233">
        <v>180</v>
      </c>
      <c r="T828" s="247" t="s">
        <v>1492</v>
      </c>
      <c r="U828" s="245">
        <v>-53</v>
      </c>
      <c r="V828" s="245">
        <v>-49</v>
      </c>
      <c r="W828" s="245">
        <v>-50</v>
      </c>
      <c r="X828" s="245">
        <v>-46</v>
      </c>
      <c r="Y828" s="245">
        <v>-27</v>
      </c>
      <c r="Z828" s="245">
        <v>-59</v>
      </c>
      <c r="AA828" s="245">
        <v>11.5</v>
      </c>
      <c r="AB828" s="245">
        <v>187</v>
      </c>
      <c r="AC828" s="245">
        <v>-13.9</v>
      </c>
      <c r="AD828" s="245">
        <v>245</v>
      </c>
      <c r="AE828" s="245">
        <v>-9.6</v>
      </c>
      <c r="AF828" s="245">
        <v>262</v>
      </c>
      <c r="AG828" s="245">
        <v>-8.4</v>
      </c>
      <c r="AH828" s="245">
        <v>79</v>
      </c>
      <c r="AI828" s="245">
        <v>78</v>
      </c>
      <c r="AJ828" s="245">
        <v>141</v>
      </c>
      <c r="AK828" s="245" t="s">
        <v>990</v>
      </c>
      <c r="AL828" s="245">
        <v>3.7</v>
      </c>
      <c r="AM828" s="246">
        <v>2.8</v>
      </c>
      <c r="AN828" s="235">
        <v>180</v>
      </c>
      <c r="AO828" s="247" t="s">
        <v>1493</v>
      </c>
      <c r="AP828" s="247">
        <v>1000</v>
      </c>
      <c r="AQ828" s="247">
        <v>21.8</v>
      </c>
      <c r="AR828" s="247">
        <v>26</v>
      </c>
      <c r="AS828" s="247">
        <v>24.5</v>
      </c>
      <c r="AT828" s="247">
        <v>37</v>
      </c>
      <c r="AU828" s="247">
        <v>12.9</v>
      </c>
      <c r="AV828" s="247">
        <v>73</v>
      </c>
      <c r="AW828" s="247">
        <v>55</v>
      </c>
      <c r="AX828" s="247">
        <v>360</v>
      </c>
      <c r="AY828" s="247">
        <v>74</v>
      </c>
      <c r="AZ828" s="247" t="s">
        <v>959</v>
      </c>
      <c r="BA828" s="248">
        <v>0</v>
      </c>
      <c r="BB828" s="235">
        <v>158</v>
      </c>
      <c r="BC828" s="247" t="s">
        <v>1491</v>
      </c>
      <c r="BD828" s="247">
        <v>1.2</v>
      </c>
      <c r="BE828" s="247">
        <v>1.2</v>
      </c>
      <c r="BF828" s="247">
        <v>2.1</v>
      </c>
      <c r="BG828" s="247">
        <v>3.9</v>
      </c>
      <c r="BH828" s="247">
        <v>6.3</v>
      </c>
      <c r="BI828" s="247">
        <v>11.3</v>
      </c>
      <c r="BJ828" s="247">
        <v>15.2</v>
      </c>
      <c r="BK828" s="247">
        <v>13</v>
      </c>
      <c r="BL828" s="247">
        <v>8.6999999999999993</v>
      </c>
      <c r="BM828" s="247">
        <v>4.9000000000000004</v>
      </c>
      <c r="BN828" s="247">
        <v>2.4</v>
      </c>
      <c r="BO828" s="247">
        <v>1.4</v>
      </c>
      <c r="BP828" s="248">
        <v>6</v>
      </c>
    </row>
    <row r="829" spans="1:68" ht="14.25" customHeight="1">
      <c r="A829" s="233">
        <v>172</v>
      </c>
      <c r="B829" s="234">
        <v>88</v>
      </c>
      <c r="C829" s="244" t="s">
        <v>928</v>
      </c>
      <c r="D829" s="244" t="s">
        <v>1001</v>
      </c>
      <c r="E829" s="244" t="s">
        <v>1494</v>
      </c>
      <c r="F829" s="245">
        <v>-31</v>
      </c>
      <c r="G829" s="245">
        <v>-28.2</v>
      </c>
      <c r="H829" s="245">
        <v>-17.2</v>
      </c>
      <c r="I829" s="245">
        <v>-5</v>
      </c>
      <c r="J829" s="245">
        <v>4.7</v>
      </c>
      <c r="K829" s="245">
        <v>14</v>
      </c>
      <c r="L829" s="245">
        <v>17.100000000000001</v>
      </c>
      <c r="M829" s="245">
        <v>13</v>
      </c>
      <c r="N829" s="245">
        <v>5.3</v>
      </c>
      <c r="O829" s="245">
        <v>-5.6</v>
      </c>
      <c r="P829" s="245">
        <v>-21.9</v>
      </c>
      <c r="Q829" s="245">
        <v>-30.1</v>
      </c>
      <c r="R829" s="246">
        <v>-7.1</v>
      </c>
      <c r="S829" s="233">
        <v>88</v>
      </c>
      <c r="T829" s="247" t="s">
        <v>1495</v>
      </c>
      <c r="U829" s="245">
        <v>-57</v>
      </c>
      <c r="V829" s="245">
        <v>-54</v>
      </c>
      <c r="W829" s="245">
        <v>-53</v>
      </c>
      <c r="X829" s="245">
        <v>-51</v>
      </c>
      <c r="Y829" s="245">
        <v>-36</v>
      </c>
      <c r="Z829" s="245">
        <v>-61</v>
      </c>
      <c r="AA829" s="245">
        <v>11.6</v>
      </c>
      <c r="AB829" s="245">
        <v>213</v>
      </c>
      <c r="AC829" s="245">
        <v>-19.3</v>
      </c>
      <c r="AD829" s="245">
        <v>264</v>
      </c>
      <c r="AE829" s="245">
        <v>-14.8</v>
      </c>
      <c r="AF829" s="245">
        <v>278</v>
      </c>
      <c r="AG829" s="245">
        <v>-13.6</v>
      </c>
      <c r="AH829" s="245">
        <v>79</v>
      </c>
      <c r="AI829" s="245">
        <v>79</v>
      </c>
      <c r="AJ829" s="245">
        <v>101</v>
      </c>
      <c r="AK829" s="245" t="s">
        <v>971</v>
      </c>
      <c r="AL829" s="245">
        <v>3.1</v>
      </c>
      <c r="AM829" s="246">
        <v>2</v>
      </c>
      <c r="AN829" s="235">
        <v>88</v>
      </c>
      <c r="AO829" s="247" t="s">
        <v>1496</v>
      </c>
      <c r="AP829" s="247">
        <v>975</v>
      </c>
      <c r="AQ829" s="247">
        <v>22</v>
      </c>
      <c r="AR829" s="247">
        <v>25.8</v>
      </c>
      <c r="AS829" s="247">
        <v>24.3</v>
      </c>
      <c r="AT829" s="247">
        <v>35</v>
      </c>
      <c r="AU829" s="247">
        <v>15</v>
      </c>
      <c r="AV829" s="247">
        <v>66</v>
      </c>
      <c r="AW829" s="247">
        <v>50</v>
      </c>
      <c r="AX829" s="247">
        <v>300</v>
      </c>
      <c r="AY829" s="247">
        <v>71</v>
      </c>
      <c r="AZ829" s="247" t="s">
        <v>978</v>
      </c>
      <c r="BA829" s="248">
        <v>0</v>
      </c>
      <c r="BB829" s="235">
        <v>72</v>
      </c>
      <c r="BC829" s="247" t="s">
        <v>1494</v>
      </c>
      <c r="BD829" s="247">
        <v>0.6</v>
      </c>
      <c r="BE829" s="247">
        <v>0.7</v>
      </c>
      <c r="BF829" s="247">
        <v>1.3</v>
      </c>
      <c r="BG829" s="247">
        <v>2.6</v>
      </c>
      <c r="BH829" s="247">
        <v>4.7</v>
      </c>
      <c r="BI829" s="247">
        <v>9.1999999999999993</v>
      </c>
      <c r="BJ829" s="247">
        <v>12.8</v>
      </c>
      <c r="BK829" s="247">
        <v>10.9</v>
      </c>
      <c r="BL829" s="247">
        <v>6.8</v>
      </c>
      <c r="BM829" s="247">
        <v>3.5</v>
      </c>
      <c r="BN829" s="247">
        <v>1.3</v>
      </c>
      <c r="BO829" s="247">
        <v>0.7</v>
      </c>
      <c r="BP829" s="248">
        <v>4.5999999999999996</v>
      </c>
    </row>
    <row r="830" spans="1:68" ht="14.25" customHeight="1">
      <c r="A830" s="233">
        <v>173</v>
      </c>
      <c r="B830" s="234">
        <v>461</v>
      </c>
      <c r="C830" s="244" t="s">
        <v>1253</v>
      </c>
      <c r="D830" s="244" t="s">
        <v>1253</v>
      </c>
      <c r="E830" s="244" t="s">
        <v>1497</v>
      </c>
      <c r="F830" s="245">
        <v>-3.4</v>
      </c>
      <c r="G830" s="245">
        <v>-0.9</v>
      </c>
      <c r="H830" s="245">
        <v>5.3</v>
      </c>
      <c r="I830" s="245">
        <v>12.4</v>
      </c>
      <c r="J830" s="245">
        <v>17.399999999999999</v>
      </c>
      <c r="K830" s="245">
        <v>21.6</v>
      </c>
      <c r="L830" s="245">
        <v>25.5</v>
      </c>
      <c r="M830" s="245">
        <v>25.2</v>
      </c>
      <c r="N830" s="245">
        <v>20.5</v>
      </c>
      <c r="O830" s="245">
        <v>13.5</v>
      </c>
      <c r="P830" s="245">
        <v>6.5</v>
      </c>
      <c r="Q830" s="245">
        <v>-0.2</v>
      </c>
      <c r="R830" s="246">
        <v>12</v>
      </c>
      <c r="S830" s="233">
        <v>461</v>
      </c>
      <c r="T830" s="247" t="s">
        <v>1498</v>
      </c>
      <c r="U830" s="245">
        <v>-21</v>
      </c>
      <c r="V830" s="245">
        <v>-19</v>
      </c>
      <c r="W830" s="245">
        <v>-19</v>
      </c>
      <c r="X830" s="245">
        <v>-17</v>
      </c>
      <c r="Y830" s="245" t="s">
        <v>956</v>
      </c>
      <c r="Z830" s="245">
        <v>-27</v>
      </c>
      <c r="AA830" s="245">
        <v>8.3000000000000007</v>
      </c>
      <c r="AB830" s="245">
        <v>70</v>
      </c>
      <c r="AC830" s="245">
        <v>-2.4</v>
      </c>
      <c r="AD830" s="245">
        <v>140</v>
      </c>
      <c r="AE830" s="245">
        <v>1</v>
      </c>
      <c r="AF830" s="245">
        <v>159</v>
      </c>
      <c r="AG830" s="245">
        <v>1.8</v>
      </c>
      <c r="AH830" s="245">
        <v>78</v>
      </c>
      <c r="AI830" s="245">
        <v>67</v>
      </c>
      <c r="AJ830" s="245">
        <v>132</v>
      </c>
      <c r="AK830" s="245" t="s">
        <v>971</v>
      </c>
      <c r="AL830" s="245">
        <v>3.4</v>
      </c>
      <c r="AM830" s="246" t="s">
        <v>931</v>
      </c>
      <c r="AN830" s="235">
        <v>461</v>
      </c>
      <c r="AO830" s="247" t="s">
        <v>1499</v>
      </c>
      <c r="AP830" s="247">
        <v>910</v>
      </c>
      <c r="AQ830" s="247" t="s">
        <v>958</v>
      </c>
      <c r="AR830" s="247" t="s">
        <v>931</v>
      </c>
      <c r="AS830" s="247">
        <v>33.200000000000003</v>
      </c>
      <c r="AT830" s="247">
        <v>42</v>
      </c>
      <c r="AU830" s="247" t="s">
        <v>934</v>
      </c>
      <c r="AV830" s="247">
        <v>45</v>
      </c>
      <c r="AW830" s="247" t="s">
        <v>931</v>
      </c>
      <c r="AX830" s="247">
        <v>184</v>
      </c>
      <c r="AY830" s="247" t="s">
        <v>965</v>
      </c>
      <c r="AZ830" s="247" t="s">
        <v>940</v>
      </c>
      <c r="BA830" s="248">
        <v>0</v>
      </c>
      <c r="BB830" s="235"/>
      <c r="BC830" s="247" t="s">
        <v>1498</v>
      </c>
      <c r="BD830" s="247"/>
      <c r="BE830" s="247"/>
      <c r="BF830" s="247"/>
      <c r="BG830" s="247"/>
      <c r="BH830" s="247"/>
      <c r="BI830" s="247"/>
      <c r="BJ830" s="247"/>
      <c r="BK830" s="247"/>
      <c r="BL830" s="247"/>
      <c r="BM830" s="247"/>
      <c r="BN830" s="247"/>
      <c r="BO830" s="247"/>
      <c r="BP830" s="248"/>
    </row>
    <row r="831" spans="1:68" ht="14.25" customHeight="1">
      <c r="A831" s="233">
        <v>174</v>
      </c>
      <c r="B831" s="234">
        <v>22</v>
      </c>
      <c r="C831" s="244" t="s">
        <v>928</v>
      </c>
      <c r="D831" s="244" t="s">
        <v>1046</v>
      </c>
      <c r="E831" s="244" t="s">
        <v>1500</v>
      </c>
      <c r="F831" s="245">
        <v>-27.6</v>
      </c>
      <c r="G831" s="245">
        <v>-22</v>
      </c>
      <c r="H831" s="245">
        <v>-13</v>
      </c>
      <c r="I831" s="245">
        <v>-1.2</v>
      </c>
      <c r="J831" s="245">
        <v>7.5</v>
      </c>
      <c r="K831" s="245">
        <v>15</v>
      </c>
      <c r="L831" s="245">
        <v>18.3</v>
      </c>
      <c r="M831" s="245">
        <v>15</v>
      </c>
      <c r="N831" s="245">
        <v>7.9</v>
      </c>
      <c r="O831" s="245">
        <v>-3.4</v>
      </c>
      <c r="P831" s="245">
        <v>-17.600000000000001</v>
      </c>
      <c r="Q831" s="245">
        <v>-26.3</v>
      </c>
      <c r="R831" s="246">
        <v>-4</v>
      </c>
      <c r="S831" s="233">
        <v>22</v>
      </c>
      <c r="T831" s="247" t="s">
        <v>1501</v>
      </c>
      <c r="U831" s="245">
        <v>-43</v>
      </c>
      <c r="V831" s="245">
        <v>-42</v>
      </c>
      <c r="W831" s="245">
        <v>-40</v>
      </c>
      <c r="X831" s="245">
        <v>-38</v>
      </c>
      <c r="Y831" s="245">
        <v>-33</v>
      </c>
      <c r="Z831" s="245">
        <v>-51</v>
      </c>
      <c r="AA831" s="245">
        <v>15.6</v>
      </c>
      <c r="AB831" s="245">
        <v>195</v>
      </c>
      <c r="AC831" s="245">
        <v>-17</v>
      </c>
      <c r="AD831" s="245">
        <v>245</v>
      </c>
      <c r="AE831" s="245">
        <v>-12.7</v>
      </c>
      <c r="AF831" s="245">
        <v>262</v>
      </c>
      <c r="AG831" s="245">
        <v>-11.3</v>
      </c>
      <c r="AH831" s="245">
        <v>79</v>
      </c>
      <c r="AI831" s="245">
        <v>71</v>
      </c>
      <c r="AJ831" s="245">
        <v>47</v>
      </c>
      <c r="AK831" s="245" t="s">
        <v>996</v>
      </c>
      <c r="AL831" s="245" t="s">
        <v>931</v>
      </c>
      <c r="AM831" s="246">
        <v>2</v>
      </c>
      <c r="AN831" s="235">
        <v>22</v>
      </c>
      <c r="AO831" s="247" t="s">
        <v>1502</v>
      </c>
      <c r="AP831" s="247">
        <v>950</v>
      </c>
      <c r="AQ831" s="247">
        <v>23.1</v>
      </c>
      <c r="AR831" s="247">
        <v>27.2</v>
      </c>
      <c r="AS831" s="247">
        <v>25.5</v>
      </c>
      <c r="AT831" s="247">
        <v>37</v>
      </c>
      <c r="AU831" s="247">
        <v>14.7</v>
      </c>
      <c r="AV831" s="247">
        <v>73</v>
      </c>
      <c r="AW831" s="247">
        <v>55</v>
      </c>
      <c r="AX831" s="247">
        <v>429</v>
      </c>
      <c r="AY831" s="247">
        <v>81</v>
      </c>
      <c r="AZ831" s="247" t="s">
        <v>1005</v>
      </c>
      <c r="BA831" s="248" t="s">
        <v>934</v>
      </c>
      <c r="BB831" s="235"/>
      <c r="BC831" s="247" t="s">
        <v>1500</v>
      </c>
      <c r="BD831" s="247"/>
      <c r="BE831" s="247"/>
      <c r="BF831" s="247"/>
      <c r="BG831" s="247"/>
      <c r="BH831" s="247"/>
      <c r="BI831" s="247"/>
      <c r="BJ831" s="247"/>
      <c r="BK831" s="247"/>
      <c r="BL831" s="247"/>
      <c r="BM831" s="247"/>
      <c r="BN831" s="247"/>
      <c r="BO831" s="247"/>
      <c r="BP831" s="248"/>
    </row>
    <row r="832" spans="1:68" ht="14.25" customHeight="1">
      <c r="A832" s="233">
        <v>175</v>
      </c>
      <c r="B832" s="234">
        <v>181</v>
      </c>
      <c r="C832" s="244" t="s">
        <v>928</v>
      </c>
      <c r="D832" s="244" t="s">
        <v>935</v>
      </c>
      <c r="E832" s="244" t="s">
        <v>1503</v>
      </c>
      <c r="F832" s="245">
        <v>-36</v>
      </c>
      <c r="G832" s="245">
        <v>-34.1</v>
      </c>
      <c r="H832" s="245">
        <v>-24.7</v>
      </c>
      <c r="I832" s="245">
        <v>-13.8</v>
      </c>
      <c r="J832" s="245">
        <v>-3.3</v>
      </c>
      <c r="K832" s="245">
        <v>7.4</v>
      </c>
      <c r="L832" s="245">
        <v>13.5</v>
      </c>
      <c r="M832" s="245">
        <v>10.199999999999999</v>
      </c>
      <c r="N832" s="245">
        <v>2.6</v>
      </c>
      <c r="O832" s="245">
        <v>-11.3</v>
      </c>
      <c r="P832" s="245">
        <v>-27.9</v>
      </c>
      <c r="Q832" s="245">
        <v>-33.1</v>
      </c>
      <c r="R832" s="246">
        <v>-12.5</v>
      </c>
      <c r="S832" s="233">
        <v>181</v>
      </c>
      <c r="T832" s="247" t="s">
        <v>1504</v>
      </c>
      <c r="U832" s="245">
        <v>-58</v>
      </c>
      <c r="V832" s="245">
        <v>-56</v>
      </c>
      <c r="W832" s="245">
        <v>-56</v>
      </c>
      <c r="X832" s="245">
        <v>-55</v>
      </c>
      <c r="Y832" s="245">
        <v>-41</v>
      </c>
      <c r="Z832" s="245">
        <v>-60</v>
      </c>
      <c r="AA832" s="245">
        <v>13.3</v>
      </c>
      <c r="AB832" s="245">
        <v>246</v>
      </c>
      <c r="AC832" s="245">
        <v>-22.3</v>
      </c>
      <c r="AD832" s="245">
        <v>298</v>
      </c>
      <c r="AE832" s="245">
        <v>-17.7</v>
      </c>
      <c r="AF832" s="245">
        <v>316</v>
      </c>
      <c r="AG832" s="245">
        <v>-16.2</v>
      </c>
      <c r="AH832" s="245">
        <v>76</v>
      </c>
      <c r="AI832" s="245">
        <v>76</v>
      </c>
      <c r="AJ832" s="245">
        <v>52</v>
      </c>
      <c r="AK832" s="245" t="s">
        <v>944</v>
      </c>
      <c r="AL832" s="245">
        <v>2.5</v>
      </c>
      <c r="AM832" s="246">
        <v>2.8</v>
      </c>
      <c r="AN832" s="235">
        <v>181</v>
      </c>
      <c r="AO832" s="247" t="s">
        <v>1505</v>
      </c>
      <c r="AP832" s="247">
        <v>980</v>
      </c>
      <c r="AQ832" s="247">
        <v>16.399999999999999</v>
      </c>
      <c r="AR832" s="247">
        <v>20.9</v>
      </c>
      <c r="AS832" s="247">
        <v>18.8</v>
      </c>
      <c r="AT832" s="247">
        <v>34</v>
      </c>
      <c r="AU832" s="247">
        <v>10.199999999999999</v>
      </c>
      <c r="AV832" s="247">
        <v>71</v>
      </c>
      <c r="AW832" s="247">
        <v>60</v>
      </c>
      <c r="AX832" s="247">
        <v>231</v>
      </c>
      <c r="AY832" s="247">
        <v>58</v>
      </c>
      <c r="AZ832" s="247" t="s">
        <v>1005</v>
      </c>
      <c r="BA832" s="248">
        <v>0</v>
      </c>
      <c r="BB832" s="235">
        <v>159</v>
      </c>
      <c r="BC832" s="247" t="s">
        <v>1503</v>
      </c>
      <c r="BD832" s="247">
        <v>0.4</v>
      </c>
      <c r="BE832" s="247">
        <v>0.4</v>
      </c>
      <c r="BF832" s="247">
        <v>0.8</v>
      </c>
      <c r="BG832" s="247">
        <v>1.7</v>
      </c>
      <c r="BH832" s="247">
        <v>3.5</v>
      </c>
      <c r="BI832" s="247">
        <v>7.1</v>
      </c>
      <c r="BJ832" s="247">
        <v>11.2</v>
      </c>
      <c r="BK832" s="247">
        <v>9.6999999999999993</v>
      </c>
      <c r="BL832" s="247">
        <v>6</v>
      </c>
      <c r="BM832" s="247">
        <v>2.5</v>
      </c>
      <c r="BN832" s="247">
        <v>0.7</v>
      </c>
      <c r="BO832" s="247">
        <v>0.5</v>
      </c>
      <c r="BP832" s="248">
        <v>3.7</v>
      </c>
    </row>
    <row r="833" spans="1:68" ht="14.25" customHeight="1">
      <c r="A833" s="233">
        <v>176</v>
      </c>
      <c r="B833" s="234">
        <v>462</v>
      </c>
      <c r="C833" s="244" t="s">
        <v>1253</v>
      </c>
      <c r="D833" s="244" t="s">
        <v>1253</v>
      </c>
      <c r="E833" s="244" t="s">
        <v>1506</v>
      </c>
      <c r="F833" s="245">
        <v>-3.8</v>
      </c>
      <c r="G833" s="245">
        <v>-1.8</v>
      </c>
      <c r="H833" s="245">
        <v>3.6</v>
      </c>
      <c r="I833" s="245">
        <v>10.3</v>
      </c>
      <c r="J833" s="245">
        <v>15.3</v>
      </c>
      <c r="K833" s="245">
        <v>19.8</v>
      </c>
      <c r="L833" s="245">
        <v>24.1</v>
      </c>
      <c r="M833" s="245">
        <v>24.2</v>
      </c>
      <c r="N833" s="245">
        <v>20.100000000000001</v>
      </c>
      <c r="O833" s="245">
        <v>12.9</v>
      </c>
      <c r="P833" s="245">
        <v>6</v>
      </c>
      <c r="Q833" s="245">
        <v>-0.8</v>
      </c>
      <c r="R833" s="246">
        <v>10.8</v>
      </c>
      <c r="S833" s="233">
        <v>462</v>
      </c>
      <c r="T833" s="247" t="s">
        <v>1507</v>
      </c>
      <c r="U833" s="245">
        <v>-23</v>
      </c>
      <c r="V833" s="245">
        <v>-19</v>
      </c>
      <c r="W833" s="245">
        <v>-19</v>
      </c>
      <c r="X833" s="245">
        <v>-16</v>
      </c>
      <c r="Y833" s="245" t="s">
        <v>956</v>
      </c>
      <c r="Z833" s="245">
        <v>-26</v>
      </c>
      <c r="AA833" s="245" t="s">
        <v>956</v>
      </c>
      <c r="AB833" s="245">
        <v>79</v>
      </c>
      <c r="AC833" s="245">
        <v>-2.6</v>
      </c>
      <c r="AD833" s="245">
        <v>148</v>
      </c>
      <c r="AE833" s="245">
        <v>0.5</v>
      </c>
      <c r="AF833" s="245">
        <v>168</v>
      </c>
      <c r="AG833" s="245">
        <v>1.4</v>
      </c>
      <c r="AH833" s="245">
        <v>73</v>
      </c>
      <c r="AI833" s="245">
        <v>62</v>
      </c>
      <c r="AJ833" s="245">
        <v>175</v>
      </c>
      <c r="AK833" s="245" t="s">
        <v>971</v>
      </c>
      <c r="AL833" s="245" t="s">
        <v>931</v>
      </c>
      <c r="AM833" s="246" t="s">
        <v>931</v>
      </c>
      <c r="AN833" s="235">
        <v>462</v>
      </c>
      <c r="AO833" s="247" t="s">
        <v>1508</v>
      </c>
      <c r="AP833" s="247">
        <v>870</v>
      </c>
      <c r="AQ833" s="247" t="s">
        <v>958</v>
      </c>
      <c r="AR833" s="247" t="s">
        <v>931</v>
      </c>
      <c r="AS833" s="247">
        <v>31.3</v>
      </c>
      <c r="AT833" s="247">
        <v>39</v>
      </c>
      <c r="AU833" s="247" t="s">
        <v>934</v>
      </c>
      <c r="AV833" s="247">
        <v>45</v>
      </c>
      <c r="AW833" s="247">
        <v>30</v>
      </c>
      <c r="AX833" s="247">
        <v>251</v>
      </c>
      <c r="AY833" s="247">
        <v>32</v>
      </c>
      <c r="AZ833" s="247" t="s">
        <v>946</v>
      </c>
      <c r="BA833" s="248">
        <v>0</v>
      </c>
      <c r="BB833" s="235"/>
      <c r="BC833" s="247" t="s">
        <v>1507</v>
      </c>
      <c r="BD833" s="247"/>
      <c r="BE833" s="247"/>
      <c r="BF833" s="247"/>
      <c r="BG833" s="247"/>
      <c r="BH833" s="247"/>
      <c r="BI833" s="247"/>
      <c r="BJ833" s="247"/>
      <c r="BK833" s="247"/>
      <c r="BL833" s="247"/>
      <c r="BM833" s="247"/>
      <c r="BN833" s="247"/>
      <c r="BO833" s="247"/>
      <c r="BP833" s="248"/>
    </row>
    <row r="834" spans="1:68" ht="14.25" customHeight="1">
      <c r="A834" s="233">
        <v>177</v>
      </c>
      <c r="B834" s="234">
        <v>533</v>
      </c>
      <c r="C834" s="244" t="s">
        <v>960</v>
      </c>
      <c r="D834" s="244" t="s">
        <v>1509</v>
      </c>
      <c r="E834" s="244" t="s">
        <v>1510</v>
      </c>
      <c r="F834" s="245">
        <v>-9.1</v>
      </c>
      <c r="G834" s="245">
        <v>-6.1</v>
      </c>
      <c r="H834" s="245">
        <v>3.2</v>
      </c>
      <c r="I834" s="245">
        <v>12.6</v>
      </c>
      <c r="J834" s="245">
        <v>18.100000000000001</v>
      </c>
      <c r="K834" s="245">
        <v>22.1</v>
      </c>
      <c r="L834" s="245">
        <v>24</v>
      </c>
      <c r="M834" s="245">
        <v>22.7</v>
      </c>
      <c r="N834" s="245">
        <v>17.2</v>
      </c>
      <c r="O834" s="245">
        <v>9.8000000000000007</v>
      </c>
      <c r="P834" s="245">
        <v>0.7</v>
      </c>
      <c r="Q834" s="245">
        <v>-6</v>
      </c>
      <c r="R834" s="246">
        <v>9.1</v>
      </c>
      <c r="S834" s="233">
        <v>533</v>
      </c>
      <c r="T834" s="247" t="s">
        <v>1510</v>
      </c>
      <c r="U834" s="245">
        <v>-32</v>
      </c>
      <c r="V834" s="245">
        <v>-30</v>
      </c>
      <c r="W834" s="245">
        <v>-27</v>
      </c>
      <c r="X834" s="245">
        <v>-23</v>
      </c>
      <c r="Y834" s="245">
        <v>-11</v>
      </c>
      <c r="Z834" s="245" t="s">
        <v>931</v>
      </c>
      <c r="AA834" s="245">
        <v>12.6</v>
      </c>
      <c r="AB834" s="245">
        <v>111</v>
      </c>
      <c r="AC834" s="245">
        <v>-6</v>
      </c>
      <c r="AD834" s="245">
        <v>159</v>
      </c>
      <c r="AE834" s="245">
        <v>-2.9</v>
      </c>
      <c r="AF834" s="245">
        <v>174</v>
      </c>
      <c r="AG834" s="245">
        <v>-1.9</v>
      </c>
      <c r="AH834" s="245" t="s">
        <v>956</v>
      </c>
      <c r="AI834" s="245">
        <v>74</v>
      </c>
      <c r="AJ834" s="245">
        <v>63</v>
      </c>
      <c r="AK834" s="245" t="s">
        <v>931</v>
      </c>
      <c r="AL834" s="245" t="s">
        <v>931</v>
      </c>
      <c r="AM834" s="246" t="s">
        <v>931</v>
      </c>
      <c r="AN834" s="235">
        <v>533</v>
      </c>
      <c r="AO834" s="247" t="s">
        <v>1511</v>
      </c>
      <c r="AP834" s="247">
        <v>935</v>
      </c>
      <c r="AQ834" s="247">
        <v>24.7</v>
      </c>
      <c r="AR834" s="247">
        <v>31.5</v>
      </c>
      <c r="AS834" s="247">
        <v>31.7</v>
      </c>
      <c r="AT834" s="247">
        <v>42</v>
      </c>
      <c r="AU834" s="247">
        <v>15.7</v>
      </c>
      <c r="AV834" s="247" t="s">
        <v>958</v>
      </c>
      <c r="AW834" s="247">
        <v>35</v>
      </c>
      <c r="AX834" s="247">
        <v>116</v>
      </c>
      <c r="AY834" s="247" t="s">
        <v>965</v>
      </c>
      <c r="AZ834" s="247" t="s">
        <v>933</v>
      </c>
      <c r="BA834" s="248" t="s">
        <v>934</v>
      </c>
      <c r="BB834" s="235"/>
      <c r="BC834" s="247" t="s">
        <v>1510</v>
      </c>
      <c r="BD834" s="247"/>
      <c r="BE834" s="247"/>
      <c r="BF834" s="247"/>
      <c r="BG834" s="247"/>
      <c r="BH834" s="247"/>
      <c r="BI834" s="247"/>
      <c r="BJ834" s="247"/>
      <c r="BK834" s="247"/>
      <c r="BL834" s="247"/>
      <c r="BM834" s="247"/>
      <c r="BN834" s="247"/>
      <c r="BO834" s="247"/>
      <c r="BP834" s="248"/>
    </row>
    <row r="835" spans="1:68" ht="14.25" customHeight="1">
      <c r="A835" s="233">
        <v>178</v>
      </c>
      <c r="B835" s="234">
        <v>89</v>
      </c>
      <c r="C835" s="244" t="s">
        <v>928</v>
      </c>
      <c r="D835" s="244" t="s">
        <v>1001</v>
      </c>
      <c r="E835" s="244" t="s">
        <v>1512</v>
      </c>
      <c r="F835" s="245">
        <v>-28.4</v>
      </c>
      <c r="G835" s="245">
        <v>-25.1</v>
      </c>
      <c r="H835" s="245">
        <v>-13.8</v>
      </c>
      <c r="I835" s="245">
        <v>-1</v>
      </c>
      <c r="J835" s="245">
        <v>7.2</v>
      </c>
      <c r="K835" s="245">
        <v>14.6</v>
      </c>
      <c r="L835" s="245">
        <v>17.399999999999999</v>
      </c>
      <c r="M835" s="245">
        <v>14.1</v>
      </c>
      <c r="N835" s="245">
        <v>6.5</v>
      </c>
      <c r="O835" s="245">
        <v>-2.4</v>
      </c>
      <c r="P835" s="245">
        <v>-15.7</v>
      </c>
      <c r="Q835" s="245">
        <v>-25.4</v>
      </c>
      <c r="R835" s="246">
        <v>-4.3</v>
      </c>
      <c r="S835" s="233">
        <v>89</v>
      </c>
      <c r="T835" s="247" t="s">
        <v>1513</v>
      </c>
      <c r="U835" s="245">
        <v>-51</v>
      </c>
      <c r="V835" s="245">
        <v>-49</v>
      </c>
      <c r="W835" s="245">
        <v>-49</v>
      </c>
      <c r="X835" s="245">
        <v>-47</v>
      </c>
      <c r="Y835" s="245">
        <v>-33</v>
      </c>
      <c r="Z835" s="245">
        <v>-54</v>
      </c>
      <c r="AA835" s="245">
        <v>12.4</v>
      </c>
      <c r="AB835" s="245">
        <v>193</v>
      </c>
      <c r="AC835" s="245">
        <v>-17.2</v>
      </c>
      <c r="AD835" s="245">
        <v>252</v>
      </c>
      <c r="AE835" s="245">
        <v>-13.3</v>
      </c>
      <c r="AF835" s="245">
        <v>268</v>
      </c>
      <c r="AG835" s="245">
        <v>-11</v>
      </c>
      <c r="AH835" s="245">
        <v>79</v>
      </c>
      <c r="AI835" s="245">
        <v>76</v>
      </c>
      <c r="AJ835" s="245">
        <v>75</v>
      </c>
      <c r="AK835" s="245" t="s">
        <v>950</v>
      </c>
      <c r="AL835" s="245" t="s">
        <v>931</v>
      </c>
      <c r="AM835" s="246">
        <v>1</v>
      </c>
      <c r="AN835" s="235">
        <v>89</v>
      </c>
      <c r="AO835" s="247" t="s">
        <v>1514</v>
      </c>
      <c r="AP835" s="247">
        <v>970</v>
      </c>
      <c r="AQ835" s="247">
        <v>21.6</v>
      </c>
      <c r="AR835" s="247">
        <v>26.8</v>
      </c>
      <c r="AS835" s="247">
        <v>25.6</v>
      </c>
      <c r="AT835" s="247">
        <v>37</v>
      </c>
      <c r="AU835" s="247">
        <v>15.2</v>
      </c>
      <c r="AV835" s="247">
        <v>76</v>
      </c>
      <c r="AW835" s="247">
        <v>55</v>
      </c>
      <c r="AX835" s="247">
        <v>293</v>
      </c>
      <c r="AY835" s="247" t="s">
        <v>965</v>
      </c>
      <c r="AZ835" s="247" t="s">
        <v>952</v>
      </c>
      <c r="BA835" s="248" t="s">
        <v>934</v>
      </c>
      <c r="BB835" s="235">
        <v>73</v>
      </c>
      <c r="BC835" s="247" t="s">
        <v>1512</v>
      </c>
      <c r="BD835" s="247">
        <v>0.7</v>
      </c>
      <c r="BE835" s="247">
        <v>0.8</v>
      </c>
      <c r="BF835" s="247">
        <v>1.8</v>
      </c>
      <c r="BG835" s="247">
        <v>3.7</v>
      </c>
      <c r="BH835" s="247">
        <v>5.8</v>
      </c>
      <c r="BI835" s="247">
        <v>10.9</v>
      </c>
      <c r="BJ835" s="247">
        <v>14.7</v>
      </c>
      <c r="BK835" s="247">
        <v>12.9</v>
      </c>
      <c r="BL835" s="247">
        <v>7.9</v>
      </c>
      <c r="BM835" s="247">
        <v>4.2</v>
      </c>
      <c r="BN835" s="247">
        <v>1.8</v>
      </c>
      <c r="BO835" s="247">
        <v>0.9</v>
      </c>
      <c r="BP835" s="248">
        <v>5.5</v>
      </c>
    </row>
    <row r="836" spans="1:68" ht="14.25" customHeight="1">
      <c r="A836" s="233">
        <v>179</v>
      </c>
      <c r="B836" s="234">
        <v>415</v>
      </c>
      <c r="C836" s="244" t="s">
        <v>928</v>
      </c>
      <c r="D836" s="244" t="s">
        <v>969</v>
      </c>
      <c r="E836" s="244" t="s">
        <v>1515</v>
      </c>
      <c r="F836" s="245">
        <v>-39.299999999999997</v>
      </c>
      <c r="G836" s="245">
        <v>-35.200000000000003</v>
      </c>
      <c r="H836" s="245">
        <v>-23.6</v>
      </c>
      <c r="I836" s="245">
        <v>-10.9</v>
      </c>
      <c r="J836" s="245">
        <v>1.1000000000000001</v>
      </c>
      <c r="K836" s="245">
        <v>12</v>
      </c>
      <c r="L836" s="245">
        <v>15.9</v>
      </c>
      <c r="M836" s="245">
        <v>12</v>
      </c>
      <c r="N836" s="245">
        <v>3.5</v>
      </c>
      <c r="O836" s="245">
        <v>-10.1</v>
      </c>
      <c r="P836" s="245">
        <v>-29.5</v>
      </c>
      <c r="Q836" s="245">
        <v>-37.1</v>
      </c>
      <c r="R836" s="246">
        <v>-11.8</v>
      </c>
      <c r="S836" s="233">
        <v>415</v>
      </c>
      <c r="T836" s="247" t="s">
        <v>1515</v>
      </c>
      <c r="U836" s="245">
        <v>-57</v>
      </c>
      <c r="V836" s="245">
        <v>-55</v>
      </c>
      <c r="W836" s="245">
        <v>-54</v>
      </c>
      <c r="X836" s="245">
        <v>-51</v>
      </c>
      <c r="Y836" s="245">
        <v>-44</v>
      </c>
      <c r="Z836" s="245">
        <v>-60</v>
      </c>
      <c r="AA836" s="245">
        <v>7.3</v>
      </c>
      <c r="AB836" s="245">
        <v>232</v>
      </c>
      <c r="AC836" s="245">
        <v>-24</v>
      </c>
      <c r="AD836" s="245">
        <v>278</v>
      </c>
      <c r="AE836" s="245">
        <v>-19.3</v>
      </c>
      <c r="AF836" s="245">
        <v>291</v>
      </c>
      <c r="AG836" s="245">
        <v>-18</v>
      </c>
      <c r="AH836" s="245">
        <v>74</v>
      </c>
      <c r="AI836" s="245">
        <v>72</v>
      </c>
      <c r="AJ836" s="245">
        <v>59</v>
      </c>
      <c r="AK836" s="245" t="s">
        <v>963</v>
      </c>
      <c r="AL836" s="245">
        <v>5.0999999999999996</v>
      </c>
      <c r="AM836" s="246">
        <v>3.9</v>
      </c>
      <c r="AN836" s="235">
        <v>415</v>
      </c>
      <c r="AO836" s="247" t="s">
        <v>1516</v>
      </c>
      <c r="AP836" s="247">
        <v>995</v>
      </c>
      <c r="AQ836" s="247">
        <v>19.399999999999999</v>
      </c>
      <c r="AR836" s="247">
        <v>23.6</v>
      </c>
      <c r="AS836" s="247">
        <v>21.4</v>
      </c>
      <c r="AT836" s="247">
        <v>35</v>
      </c>
      <c r="AU836" s="247">
        <v>10.9</v>
      </c>
      <c r="AV836" s="247">
        <v>65</v>
      </c>
      <c r="AW836" s="247">
        <v>55</v>
      </c>
      <c r="AX836" s="247">
        <v>250</v>
      </c>
      <c r="AY836" s="247">
        <v>55</v>
      </c>
      <c r="AZ836" s="247" t="s">
        <v>1005</v>
      </c>
      <c r="BA836" s="248">
        <v>4.2</v>
      </c>
      <c r="BB836" s="235">
        <v>379</v>
      </c>
      <c r="BC836" s="247" t="s">
        <v>1515</v>
      </c>
      <c r="BD836" s="247">
        <v>0.2</v>
      </c>
      <c r="BE836" s="247">
        <v>0.3</v>
      </c>
      <c r="BF836" s="247">
        <v>0.8</v>
      </c>
      <c r="BG836" s="247">
        <v>2</v>
      </c>
      <c r="BH836" s="247">
        <v>4.3</v>
      </c>
      <c r="BI836" s="247">
        <v>8.6999999999999993</v>
      </c>
      <c r="BJ836" s="247">
        <v>11.7</v>
      </c>
      <c r="BK836" s="247">
        <v>10.4</v>
      </c>
      <c r="BL836" s="247">
        <v>6.3</v>
      </c>
      <c r="BM836" s="247">
        <v>2.7</v>
      </c>
      <c r="BN836" s="247">
        <v>0.6</v>
      </c>
      <c r="BO836" s="247">
        <v>0.3</v>
      </c>
      <c r="BP836" s="248">
        <v>4</v>
      </c>
    </row>
    <row r="837" spans="1:68" ht="14.25" customHeight="1">
      <c r="A837" s="233">
        <v>180</v>
      </c>
      <c r="B837" s="234">
        <v>614</v>
      </c>
      <c r="C837" s="244" t="s">
        <v>953</v>
      </c>
      <c r="D837" s="244" t="s">
        <v>1517</v>
      </c>
      <c r="E837" s="244" t="s">
        <v>1518</v>
      </c>
      <c r="F837" s="245">
        <v>-6</v>
      </c>
      <c r="G837" s="245">
        <v>-4.5999999999999996</v>
      </c>
      <c r="H837" s="245">
        <v>-0.1</v>
      </c>
      <c r="I837" s="245">
        <v>7.7</v>
      </c>
      <c r="J837" s="245">
        <v>13.9</v>
      </c>
      <c r="K837" s="245">
        <v>17</v>
      </c>
      <c r="L837" s="245">
        <v>18</v>
      </c>
      <c r="M837" s="245">
        <v>17.399999999999999</v>
      </c>
      <c r="N837" s="245">
        <v>13</v>
      </c>
      <c r="O837" s="245">
        <v>7.4</v>
      </c>
      <c r="P837" s="245">
        <v>1.8</v>
      </c>
      <c r="Q837" s="245">
        <v>-2.7</v>
      </c>
      <c r="R837" s="246">
        <v>6.9</v>
      </c>
      <c r="S837" s="233">
        <v>603</v>
      </c>
      <c r="T837" s="247" t="s">
        <v>1518</v>
      </c>
      <c r="U837" s="245">
        <v>-29</v>
      </c>
      <c r="V837" s="245">
        <v>-25</v>
      </c>
      <c r="W837" s="245">
        <v>-24</v>
      </c>
      <c r="X837" s="245">
        <v>-22</v>
      </c>
      <c r="Y837" s="245">
        <v>-9</v>
      </c>
      <c r="Z837" s="245">
        <v>-35</v>
      </c>
      <c r="AA837" s="245" t="s">
        <v>956</v>
      </c>
      <c r="AB837" s="245">
        <v>109</v>
      </c>
      <c r="AC837" s="245">
        <v>-3.9</v>
      </c>
      <c r="AD837" s="245">
        <v>182</v>
      </c>
      <c r="AE837" s="245">
        <v>-0.8</v>
      </c>
      <c r="AF837" s="245">
        <v>201</v>
      </c>
      <c r="AG837" s="245">
        <v>0.1</v>
      </c>
      <c r="AH837" s="245" t="s">
        <v>956</v>
      </c>
      <c r="AI837" s="245" t="s">
        <v>956</v>
      </c>
      <c r="AJ837" s="245">
        <v>174</v>
      </c>
      <c r="AK837" s="245" t="s">
        <v>950</v>
      </c>
      <c r="AL837" s="245" t="s">
        <v>931</v>
      </c>
      <c r="AM837" s="246" t="s">
        <v>931</v>
      </c>
      <c r="AN837" s="235">
        <v>604</v>
      </c>
      <c r="AO837" s="247" t="s">
        <v>1519</v>
      </c>
      <c r="AP837" s="247">
        <v>990</v>
      </c>
      <c r="AQ837" s="247">
        <v>26</v>
      </c>
      <c r="AR837" s="247">
        <v>22</v>
      </c>
      <c r="AS837" s="247">
        <v>23.7</v>
      </c>
      <c r="AT837" s="247">
        <v>38</v>
      </c>
      <c r="AU837" s="247" t="s">
        <v>934</v>
      </c>
      <c r="AV837" s="247" t="s">
        <v>958</v>
      </c>
      <c r="AW837" s="247" t="s">
        <v>931</v>
      </c>
      <c r="AX837" s="247" t="s">
        <v>931</v>
      </c>
      <c r="AY837" s="247">
        <v>180</v>
      </c>
      <c r="AZ837" s="247" t="s">
        <v>933</v>
      </c>
      <c r="BA837" s="248">
        <v>1.7</v>
      </c>
      <c r="BB837" s="235"/>
      <c r="BC837" s="247" t="s">
        <v>1518</v>
      </c>
      <c r="BD837" s="247"/>
      <c r="BE837" s="247"/>
      <c r="BF837" s="247"/>
      <c r="BG837" s="247"/>
      <c r="BH837" s="247"/>
      <c r="BI837" s="247"/>
      <c r="BJ837" s="247"/>
      <c r="BK837" s="247"/>
      <c r="BL837" s="247"/>
      <c r="BM837" s="247"/>
      <c r="BN837" s="247"/>
      <c r="BO837" s="247"/>
      <c r="BP837" s="248"/>
    </row>
    <row r="838" spans="1:68" ht="14.25" customHeight="1">
      <c r="A838" s="233">
        <v>181</v>
      </c>
      <c r="B838" s="234">
        <v>23</v>
      </c>
      <c r="C838" s="244" t="s">
        <v>928</v>
      </c>
      <c r="D838" s="244" t="s">
        <v>1046</v>
      </c>
      <c r="E838" s="244" t="s">
        <v>1520</v>
      </c>
      <c r="F838" s="245">
        <v>-26.9</v>
      </c>
      <c r="G838" s="245">
        <v>-20.9</v>
      </c>
      <c r="H838" s="245">
        <v>-11.6</v>
      </c>
      <c r="I838" s="245">
        <v>1.3</v>
      </c>
      <c r="J838" s="245">
        <v>9.6999999999999993</v>
      </c>
      <c r="K838" s="245">
        <v>16.7</v>
      </c>
      <c r="L838" s="245">
        <v>20.3</v>
      </c>
      <c r="M838" s="245">
        <v>18.100000000000001</v>
      </c>
      <c r="N838" s="245">
        <v>11.3</v>
      </c>
      <c r="O838" s="245">
        <v>1.1000000000000001</v>
      </c>
      <c r="P838" s="245">
        <v>-13.4</v>
      </c>
      <c r="Q838" s="245">
        <v>-24</v>
      </c>
      <c r="R838" s="246">
        <v>-1.5</v>
      </c>
      <c r="S838" s="233">
        <v>23</v>
      </c>
      <c r="T838" s="247" t="s">
        <v>1521</v>
      </c>
      <c r="U838" s="245">
        <v>-41</v>
      </c>
      <c r="V838" s="245">
        <v>-39</v>
      </c>
      <c r="W838" s="245">
        <v>-38</v>
      </c>
      <c r="X838" s="245">
        <v>-36</v>
      </c>
      <c r="Y838" s="245">
        <v>-32</v>
      </c>
      <c r="Z838" s="245">
        <v>-50</v>
      </c>
      <c r="AA838" s="245">
        <v>9.5</v>
      </c>
      <c r="AB838" s="245">
        <v>176</v>
      </c>
      <c r="AC838" s="245">
        <v>-16.399999999999999</v>
      </c>
      <c r="AD838" s="245">
        <v>226</v>
      </c>
      <c r="AE838" s="245">
        <v>-11.8</v>
      </c>
      <c r="AF838" s="245">
        <v>240</v>
      </c>
      <c r="AG838" s="245">
        <v>-10.7</v>
      </c>
      <c r="AH838" s="245">
        <v>79</v>
      </c>
      <c r="AI838" s="245">
        <v>74</v>
      </c>
      <c r="AJ838" s="245">
        <v>78</v>
      </c>
      <c r="AK838" s="245" t="s">
        <v>944</v>
      </c>
      <c r="AL838" s="245">
        <v>3.3</v>
      </c>
      <c r="AM838" s="246" t="s">
        <v>931</v>
      </c>
      <c r="AN838" s="235">
        <v>23</v>
      </c>
      <c r="AO838" s="247" t="s">
        <v>1522</v>
      </c>
      <c r="AP838" s="247">
        <v>980</v>
      </c>
      <c r="AQ838" s="247">
        <v>23.3</v>
      </c>
      <c r="AR838" s="247">
        <v>27.4</v>
      </c>
      <c r="AS838" s="247">
        <v>25.7</v>
      </c>
      <c r="AT838" s="247">
        <v>40</v>
      </c>
      <c r="AU838" s="247">
        <v>10.7</v>
      </c>
      <c r="AV838" s="247">
        <v>79</v>
      </c>
      <c r="AW838" s="247">
        <v>65</v>
      </c>
      <c r="AX838" s="247">
        <v>577</v>
      </c>
      <c r="AY838" s="247">
        <v>127</v>
      </c>
      <c r="AZ838" s="247" t="s">
        <v>946</v>
      </c>
      <c r="BA838" s="248">
        <v>0</v>
      </c>
      <c r="BB838" s="235"/>
      <c r="BC838" s="247" t="s">
        <v>1520</v>
      </c>
      <c r="BD838" s="247"/>
      <c r="BE838" s="247"/>
      <c r="BF838" s="247"/>
      <c r="BG838" s="247"/>
      <c r="BH838" s="247"/>
      <c r="BI838" s="247"/>
      <c r="BJ838" s="247"/>
      <c r="BK838" s="247"/>
      <c r="BL838" s="247"/>
      <c r="BM838" s="247"/>
      <c r="BN838" s="247"/>
      <c r="BO838" s="247"/>
      <c r="BP838" s="248"/>
    </row>
    <row r="839" spans="1:68" ht="14.25" customHeight="1">
      <c r="A839" s="233">
        <v>182</v>
      </c>
      <c r="B839" s="234">
        <v>506</v>
      </c>
      <c r="C839" s="244" t="s">
        <v>960</v>
      </c>
      <c r="D839" s="244" t="s">
        <v>1523</v>
      </c>
      <c r="E839" s="244" t="s">
        <v>1524</v>
      </c>
      <c r="F839" s="245">
        <v>-17</v>
      </c>
      <c r="G839" s="245">
        <v>-15</v>
      </c>
      <c r="H839" s="245">
        <v>-6.5</v>
      </c>
      <c r="I839" s="245">
        <v>6.9</v>
      </c>
      <c r="J839" s="245">
        <v>15.3</v>
      </c>
      <c r="K839" s="245">
        <v>20.7</v>
      </c>
      <c r="L839" s="245">
        <v>22.9</v>
      </c>
      <c r="M839" s="245">
        <v>21.2</v>
      </c>
      <c r="N839" s="245">
        <v>15.3</v>
      </c>
      <c r="O839" s="245">
        <v>6.2</v>
      </c>
      <c r="P839" s="245">
        <v>-5.8</v>
      </c>
      <c r="Q839" s="245">
        <v>-14.6</v>
      </c>
      <c r="R839" s="246">
        <v>4.0999999999999996</v>
      </c>
      <c r="S839" s="233">
        <v>506</v>
      </c>
      <c r="T839" s="247" t="s">
        <v>1524</v>
      </c>
      <c r="U839" s="245">
        <v>-39</v>
      </c>
      <c r="V839" s="245">
        <v>-38</v>
      </c>
      <c r="W839" s="245">
        <v>-36</v>
      </c>
      <c r="X839" s="245">
        <v>-33</v>
      </c>
      <c r="Y839" s="245">
        <v>-23</v>
      </c>
      <c r="Z839" s="245" t="s">
        <v>931</v>
      </c>
      <c r="AA839" s="245">
        <v>8.3000000000000007</v>
      </c>
      <c r="AB839" s="245">
        <v>151</v>
      </c>
      <c r="AC839" s="245">
        <v>-11.8</v>
      </c>
      <c r="AD839" s="245">
        <v>191</v>
      </c>
      <c r="AE839" s="245">
        <v>-8.3000000000000007</v>
      </c>
      <c r="AF839" s="245">
        <v>203</v>
      </c>
      <c r="AG839" s="245">
        <v>-7.3</v>
      </c>
      <c r="AH839" s="245">
        <v>81</v>
      </c>
      <c r="AI839" s="245">
        <v>80</v>
      </c>
      <c r="AJ839" s="245">
        <v>74</v>
      </c>
      <c r="AK839" s="245" t="s">
        <v>931</v>
      </c>
      <c r="AL839" s="245" t="s">
        <v>931</v>
      </c>
      <c r="AM839" s="246" t="s">
        <v>931</v>
      </c>
      <c r="AN839" s="235">
        <v>506</v>
      </c>
      <c r="AO839" s="247" t="s">
        <v>1525</v>
      </c>
      <c r="AP839" s="247" t="s">
        <v>965</v>
      </c>
      <c r="AQ839" s="247">
        <v>26.8</v>
      </c>
      <c r="AR839" s="247">
        <v>30.7</v>
      </c>
      <c r="AS839" s="247">
        <v>28.4</v>
      </c>
      <c r="AT839" s="247">
        <v>40</v>
      </c>
      <c r="AU839" s="247">
        <v>11</v>
      </c>
      <c r="AV839" s="247">
        <v>44</v>
      </c>
      <c r="AW839" s="247">
        <v>38</v>
      </c>
      <c r="AX839" s="247">
        <v>237</v>
      </c>
      <c r="AY839" s="247" t="s">
        <v>965</v>
      </c>
      <c r="AZ839" s="247" t="s">
        <v>933</v>
      </c>
      <c r="BA839" s="248" t="s">
        <v>934</v>
      </c>
      <c r="BB839" s="235"/>
      <c r="BC839" s="247" t="s">
        <v>1524</v>
      </c>
      <c r="BD839" s="247"/>
      <c r="BE839" s="247"/>
      <c r="BF839" s="247"/>
      <c r="BG839" s="247"/>
      <c r="BH839" s="247"/>
      <c r="BI839" s="247"/>
      <c r="BJ839" s="247"/>
      <c r="BK839" s="247"/>
      <c r="BL839" s="247"/>
      <c r="BM839" s="247"/>
      <c r="BN839" s="247"/>
      <c r="BO839" s="247"/>
      <c r="BP839" s="248"/>
    </row>
    <row r="840" spans="1:68" ht="14.25" customHeight="1">
      <c r="A840" s="233">
        <v>183</v>
      </c>
      <c r="B840" s="234">
        <v>617</v>
      </c>
      <c r="C840" s="244" t="s">
        <v>953</v>
      </c>
      <c r="D840" s="244" t="s">
        <v>1526</v>
      </c>
      <c r="E840" s="244" t="s">
        <v>1527</v>
      </c>
      <c r="F840" s="245">
        <v>-4.2</v>
      </c>
      <c r="G840" s="245">
        <v>-2.9</v>
      </c>
      <c r="H840" s="245">
        <v>1.7</v>
      </c>
      <c r="I840" s="245">
        <v>9.9</v>
      </c>
      <c r="J840" s="245">
        <v>16.399999999999999</v>
      </c>
      <c r="K840" s="245">
        <v>20.2</v>
      </c>
      <c r="L840" s="245">
        <v>22</v>
      </c>
      <c r="M840" s="245">
        <v>21.2</v>
      </c>
      <c r="N840" s="245">
        <v>16.2</v>
      </c>
      <c r="O840" s="245">
        <v>9.5</v>
      </c>
      <c r="P840" s="245">
        <v>3.8</v>
      </c>
      <c r="Q840" s="245">
        <v>-0.8</v>
      </c>
      <c r="R840" s="246">
        <v>9.4</v>
      </c>
      <c r="S840" s="233">
        <v>606</v>
      </c>
      <c r="T840" s="247" t="s">
        <v>1527</v>
      </c>
      <c r="U840" s="245">
        <v>-27</v>
      </c>
      <c r="V840" s="245">
        <v>-24</v>
      </c>
      <c r="W840" s="245">
        <v>-23</v>
      </c>
      <c r="X840" s="245">
        <v>-21</v>
      </c>
      <c r="Y840" s="245">
        <v>-7</v>
      </c>
      <c r="Z840" s="245">
        <v>-32</v>
      </c>
      <c r="AA840" s="245" t="s">
        <v>956</v>
      </c>
      <c r="AB840" s="245">
        <v>86</v>
      </c>
      <c r="AC840" s="245">
        <v>-2.9</v>
      </c>
      <c r="AD840" s="245">
        <v>166</v>
      </c>
      <c r="AE840" s="245">
        <v>0.3</v>
      </c>
      <c r="AF840" s="245">
        <v>181</v>
      </c>
      <c r="AG840" s="245">
        <v>1</v>
      </c>
      <c r="AH840" s="245" t="s">
        <v>956</v>
      </c>
      <c r="AI840" s="245" t="s">
        <v>956</v>
      </c>
      <c r="AJ840" s="245">
        <v>219</v>
      </c>
      <c r="AK840" s="245" t="s">
        <v>938</v>
      </c>
      <c r="AL840" s="245" t="s">
        <v>931</v>
      </c>
      <c r="AM840" s="246" t="s">
        <v>931</v>
      </c>
      <c r="AN840" s="235">
        <v>607</v>
      </c>
      <c r="AO840" s="247" t="s">
        <v>1528</v>
      </c>
      <c r="AP840" s="247">
        <v>1010</v>
      </c>
      <c r="AQ840" s="247">
        <v>31</v>
      </c>
      <c r="AR840" s="247">
        <v>27</v>
      </c>
      <c r="AS840" s="247">
        <v>28.1</v>
      </c>
      <c r="AT840" s="247">
        <v>40</v>
      </c>
      <c r="AU840" s="247" t="s">
        <v>934</v>
      </c>
      <c r="AV840" s="247" t="s">
        <v>958</v>
      </c>
      <c r="AW840" s="247" t="s">
        <v>931</v>
      </c>
      <c r="AX840" s="247" t="s">
        <v>931</v>
      </c>
      <c r="AY840" s="247">
        <v>120</v>
      </c>
      <c r="AZ840" s="247" t="s">
        <v>1005</v>
      </c>
      <c r="BA840" s="248">
        <v>1.1000000000000001</v>
      </c>
      <c r="BB840" s="235"/>
      <c r="BC840" s="247" t="s">
        <v>1527</v>
      </c>
      <c r="BD840" s="247"/>
      <c r="BE840" s="247"/>
      <c r="BF840" s="247"/>
      <c r="BG840" s="247"/>
      <c r="BH840" s="247"/>
      <c r="BI840" s="247"/>
      <c r="BJ840" s="247"/>
      <c r="BK840" s="247"/>
      <c r="BL840" s="247"/>
      <c r="BM840" s="247"/>
      <c r="BN840" s="247"/>
      <c r="BO840" s="247"/>
      <c r="BP840" s="248"/>
    </row>
    <row r="841" spans="1:68" ht="14.25" customHeight="1">
      <c r="A841" s="233">
        <v>184</v>
      </c>
      <c r="B841" s="234">
        <v>249</v>
      </c>
      <c r="C841" s="244" t="s">
        <v>928</v>
      </c>
      <c r="D841" s="244" t="s">
        <v>1529</v>
      </c>
      <c r="E841" s="244" t="s">
        <v>1530</v>
      </c>
      <c r="F841" s="245">
        <v>-11.6</v>
      </c>
      <c r="G841" s="245">
        <v>-11.1</v>
      </c>
      <c r="H841" s="245">
        <v>-5.6</v>
      </c>
      <c r="I841" s="245">
        <v>4.8</v>
      </c>
      <c r="J841" s="245">
        <v>13.4</v>
      </c>
      <c r="K841" s="245">
        <v>17.5</v>
      </c>
      <c r="L841" s="245">
        <v>19.399999999999999</v>
      </c>
      <c r="M841" s="245">
        <v>17.7</v>
      </c>
      <c r="N841" s="245">
        <v>11.7</v>
      </c>
      <c r="O841" s="245">
        <v>4.4000000000000004</v>
      </c>
      <c r="P841" s="245">
        <v>-2.4</v>
      </c>
      <c r="Q841" s="245">
        <v>-8.1999999999999993</v>
      </c>
      <c r="R841" s="246">
        <v>4.2</v>
      </c>
      <c r="S841" s="233">
        <v>249</v>
      </c>
      <c r="T841" s="247" t="s">
        <v>1531</v>
      </c>
      <c r="U841" s="245">
        <v>-37</v>
      </c>
      <c r="V841" s="245">
        <v>-34</v>
      </c>
      <c r="W841" s="245">
        <v>-32</v>
      </c>
      <c r="X841" s="245">
        <v>-29</v>
      </c>
      <c r="Y841" s="245">
        <v>-17</v>
      </c>
      <c r="Z841" s="245">
        <v>-43</v>
      </c>
      <c r="AA841" s="245">
        <v>7.9</v>
      </c>
      <c r="AB841" s="245">
        <v>148</v>
      </c>
      <c r="AC841" s="245">
        <v>-7.5</v>
      </c>
      <c r="AD841" s="245">
        <v>208</v>
      </c>
      <c r="AE841" s="245">
        <v>-4.2</v>
      </c>
      <c r="AF841" s="245">
        <v>223</v>
      </c>
      <c r="AG841" s="245">
        <v>-3.2</v>
      </c>
      <c r="AH841" s="245">
        <v>84</v>
      </c>
      <c r="AI841" s="245">
        <v>83</v>
      </c>
      <c r="AJ841" s="245">
        <v>160</v>
      </c>
      <c r="AK841" s="245" t="s">
        <v>990</v>
      </c>
      <c r="AL841" s="245">
        <v>6.2</v>
      </c>
      <c r="AM841" s="246">
        <v>4.3</v>
      </c>
      <c r="AN841" s="235">
        <v>249</v>
      </c>
      <c r="AO841" s="247" t="s">
        <v>1532</v>
      </c>
      <c r="AP841" s="247">
        <v>995</v>
      </c>
      <c r="AQ841" s="247">
        <v>23.2</v>
      </c>
      <c r="AR841" s="247">
        <v>27.3</v>
      </c>
      <c r="AS841" s="247">
        <v>25.6</v>
      </c>
      <c r="AT841" s="247">
        <v>39</v>
      </c>
      <c r="AU841" s="247">
        <v>12.8</v>
      </c>
      <c r="AV841" s="247">
        <v>70</v>
      </c>
      <c r="AW841" s="247">
        <v>52</v>
      </c>
      <c r="AX841" s="247">
        <v>351</v>
      </c>
      <c r="AY841" s="247">
        <v>73</v>
      </c>
      <c r="AZ841" s="247" t="s">
        <v>959</v>
      </c>
      <c r="BA841" s="248">
        <v>0</v>
      </c>
      <c r="BB841" s="235">
        <v>220</v>
      </c>
      <c r="BC841" s="247" t="s">
        <v>1530</v>
      </c>
      <c r="BD841" s="247">
        <v>2.6</v>
      </c>
      <c r="BE841" s="247">
        <v>2.7</v>
      </c>
      <c r="BF841" s="247">
        <v>3.8</v>
      </c>
      <c r="BG841" s="247">
        <v>6.7</v>
      </c>
      <c r="BH841" s="247">
        <v>9.1</v>
      </c>
      <c r="BI841" s="247">
        <v>12.5</v>
      </c>
      <c r="BJ841" s="247">
        <v>15</v>
      </c>
      <c r="BK841" s="247">
        <v>13.7</v>
      </c>
      <c r="BL841" s="247">
        <v>10</v>
      </c>
      <c r="BM841" s="247">
        <v>6.9</v>
      </c>
      <c r="BN841" s="247">
        <v>4.8</v>
      </c>
      <c r="BO841" s="247">
        <v>3.5</v>
      </c>
      <c r="BP841" s="248">
        <v>7.6</v>
      </c>
    </row>
    <row r="842" spans="1:68" ht="14.25" customHeight="1">
      <c r="A842" s="233">
        <v>185</v>
      </c>
      <c r="B842" s="234">
        <v>24</v>
      </c>
      <c r="C842" s="244" t="s">
        <v>928</v>
      </c>
      <c r="D842" s="244" t="s">
        <v>1046</v>
      </c>
      <c r="E842" s="244" t="s">
        <v>1533</v>
      </c>
      <c r="F842" s="245">
        <v>-30.1</v>
      </c>
      <c r="G842" s="245">
        <v>-23.8</v>
      </c>
      <c r="H842" s="245">
        <v>-13.6</v>
      </c>
      <c r="I842" s="245">
        <v>-0.6</v>
      </c>
      <c r="J842" s="245">
        <v>8.4</v>
      </c>
      <c r="K842" s="245">
        <v>15.3</v>
      </c>
      <c r="L842" s="245">
        <v>18.600000000000001</v>
      </c>
      <c r="M842" s="245">
        <v>15.7</v>
      </c>
      <c r="N842" s="245">
        <v>9</v>
      </c>
      <c r="O842" s="245">
        <v>-2.4</v>
      </c>
      <c r="P842" s="245">
        <v>-17.8</v>
      </c>
      <c r="Q842" s="245">
        <v>-28</v>
      </c>
      <c r="R842" s="246">
        <v>-4.0999999999999996</v>
      </c>
      <c r="S842" s="233">
        <v>24</v>
      </c>
      <c r="T842" s="247" t="s">
        <v>1534</v>
      </c>
      <c r="U842" s="245">
        <v>-46</v>
      </c>
      <c r="V842" s="245">
        <v>-44</v>
      </c>
      <c r="W842" s="245">
        <v>-43</v>
      </c>
      <c r="X842" s="245">
        <v>-42</v>
      </c>
      <c r="Y842" s="245">
        <v>-35</v>
      </c>
      <c r="Z842" s="245">
        <v>-52</v>
      </c>
      <c r="AA842" s="245">
        <v>14.7</v>
      </c>
      <c r="AB842" s="245">
        <v>190</v>
      </c>
      <c r="AC842" s="245">
        <v>-18.3</v>
      </c>
      <c r="AD842" s="245">
        <v>238</v>
      </c>
      <c r="AE842" s="245">
        <v>-13.8</v>
      </c>
      <c r="AF842" s="245">
        <v>254</v>
      </c>
      <c r="AG842" s="245">
        <v>-12.4</v>
      </c>
      <c r="AH842" s="245">
        <v>69</v>
      </c>
      <c r="AI842" s="245">
        <v>63</v>
      </c>
      <c r="AJ842" s="245">
        <v>35</v>
      </c>
      <c r="AK842" s="245" t="s">
        <v>931</v>
      </c>
      <c r="AL842" s="245">
        <v>3.5</v>
      </c>
      <c r="AM842" s="246" t="s">
        <v>931</v>
      </c>
      <c r="AN842" s="235">
        <v>24</v>
      </c>
      <c r="AO842" s="247" t="s">
        <v>1535</v>
      </c>
      <c r="AP842" s="247">
        <v>980</v>
      </c>
      <c r="AQ842" s="247">
        <v>23.1</v>
      </c>
      <c r="AR842" s="247">
        <v>27.2</v>
      </c>
      <c r="AS842" s="247">
        <v>25.5</v>
      </c>
      <c r="AT842" s="247">
        <v>36</v>
      </c>
      <c r="AU842" s="247">
        <v>14.3</v>
      </c>
      <c r="AV842" s="247">
        <v>78</v>
      </c>
      <c r="AW842" s="247">
        <v>60</v>
      </c>
      <c r="AX842" s="247">
        <v>495</v>
      </c>
      <c r="AY842" s="247">
        <v>75</v>
      </c>
      <c r="AZ842" s="247" t="s">
        <v>933</v>
      </c>
      <c r="BA842" s="248">
        <v>0</v>
      </c>
      <c r="BB842" s="235"/>
      <c r="BC842" s="247" t="s">
        <v>1533</v>
      </c>
      <c r="BD842" s="247"/>
      <c r="BE842" s="247"/>
      <c r="BF842" s="247"/>
      <c r="BG842" s="247"/>
      <c r="BH842" s="247"/>
      <c r="BI842" s="247"/>
      <c r="BJ842" s="247"/>
      <c r="BK842" s="247"/>
      <c r="BL842" s="247"/>
      <c r="BM842" s="247"/>
      <c r="BN842" s="247"/>
      <c r="BO842" s="247"/>
      <c r="BP842" s="248"/>
    </row>
    <row r="843" spans="1:68" ht="14.25" customHeight="1">
      <c r="A843" s="233">
        <v>186</v>
      </c>
      <c r="B843" s="234">
        <v>90</v>
      </c>
      <c r="C843" s="244" t="s">
        <v>928</v>
      </c>
      <c r="D843" s="244" t="s">
        <v>1001</v>
      </c>
      <c r="E843" s="244" t="s">
        <v>1536</v>
      </c>
      <c r="F843" s="245">
        <v>-23</v>
      </c>
      <c r="G843" s="245">
        <v>-20</v>
      </c>
      <c r="H843" s="245">
        <v>-10.1</v>
      </c>
      <c r="I843" s="245">
        <v>1.1000000000000001</v>
      </c>
      <c r="J843" s="245">
        <v>8.6999999999999993</v>
      </c>
      <c r="K843" s="245">
        <v>15.8</v>
      </c>
      <c r="L843" s="245">
        <v>18</v>
      </c>
      <c r="M843" s="245">
        <v>14.9</v>
      </c>
      <c r="N843" s="245">
        <v>8.1</v>
      </c>
      <c r="O843" s="245">
        <v>-0.1</v>
      </c>
      <c r="P843" s="245">
        <v>-12.2</v>
      </c>
      <c r="Q843" s="245">
        <v>-20.5</v>
      </c>
      <c r="R843" s="246">
        <v>-1.6</v>
      </c>
      <c r="S843" s="233">
        <v>90</v>
      </c>
      <c r="T843" s="247" t="s">
        <v>1537</v>
      </c>
      <c r="U843" s="245">
        <v>-47</v>
      </c>
      <c r="V843" s="245">
        <v>-45</v>
      </c>
      <c r="W843" s="245">
        <v>-43</v>
      </c>
      <c r="X843" s="245">
        <v>-42</v>
      </c>
      <c r="Y843" s="245">
        <v>-28</v>
      </c>
      <c r="Z843" s="245">
        <v>-50</v>
      </c>
      <c r="AA843" s="245">
        <v>11.8</v>
      </c>
      <c r="AB843" s="245">
        <v>179</v>
      </c>
      <c r="AC843" s="245">
        <v>-14.4</v>
      </c>
      <c r="AD843" s="245">
        <v>239</v>
      </c>
      <c r="AE843" s="245">
        <v>-9.6999999999999993</v>
      </c>
      <c r="AF843" s="245">
        <v>257</v>
      </c>
      <c r="AG843" s="245">
        <v>-8.5</v>
      </c>
      <c r="AH843" s="245">
        <v>80</v>
      </c>
      <c r="AI843" s="245">
        <v>76</v>
      </c>
      <c r="AJ843" s="245">
        <v>92</v>
      </c>
      <c r="AK843" s="245" t="s">
        <v>944</v>
      </c>
      <c r="AL843" s="245">
        <v>4.9000000000000004</v>
      </c>
      <c r="AM843" s="246">
        <v>2.1</v>
      </c>
      <c r="AN843" s="235">
        <v>90</v>
      </c>
      <c r="AO843" s="247" t="s">
        <v>1538</v>
      </c>
      <c r="AP843" s="247">
        <v>955</v>
      </c>
      <c r="AQ843" s="247">
        <v>22.4</v>
      </c>
      <c r="AR843" s="247">
        <v>26.6</v>
      </c>
      <c r="AS843" s="247">
        <v>24.8</v>
      </c>
      <c r="AT843" s="247">
        <v>35</v>
      </c>
      <c r="AU843" s="247">
        <v>13.3</v>
      </c>
      <c r="AV843" s="247">
        <v>73</v>
      </c>
      <c r="AW843" s="247">
        <v>56</v>
      </c>
      <c r="AX843" s="247">
        <v>332</v>
      </c>
      <c r="AY843" s="247">
        <v>66</v>
      </c>
      <c r="AZ843" s="247" t="s">
        <v>959</v>
      </c>
      <c r="BA843" s="248">
        <v>0</v>
      </c>
      <c r="BB843" s="235">
        <v>74</v>
      </c>
      <c r="BC843" s="247" t="s">
        <v>1536</v>
      </c>
      <c r="BD843" s="247">
        <v>1</v>
      </c>
      <c r="BE843" s="247">
        <v>1.2</v>
      </c>
      <c r="BF843" s="247">
        <v>2.2000000000000002</v>
      </c>
      <c r="BG843" s="247">
        <v>4.2</v>
      </c>
      <c r="BH843" s="247">
        <v>6</v>
      </c>
      <c r="BI843" s="247">
        <v>10.7</v>
      </c>
      <c r="BJ843" s="247">
        <v>14.6</v>
      </c>
      <c r="BK843" s="247">
        <v>12.8</v>
      </c>
      <c r="BL843" s="247">
        <v>7.9</v>
      </c>
      <c r="BM843" s="247">
        <v>4.5</v>
      </c>
      <c r="BN843" s="247">
        <v>2.2000000000000002</v>
      </c>
      <c r="BO843" s="247">
        <v>1.3</v>
      </c>
      <c r="BP843" s="248">
        <v>5.7</v>
      </c>
    </row>
    <row r="844" spans="1:68" ht="14.25" customHeight="1">
      <c r="A844" s="233">
        <v>187</v>
      </c>
      <c r="B844" s="234">
        <v>6</v>
      </c>
      <c r="C844" s="244" t="s">
        <v>928</v>
      </c>
      <c r="D844" s="244" t="s">
        <v>974</v>
      </c>
      <c r="E844" s="244" t="s">
        <v>1539</v>
      </c>
      <c r="F844" s="245">
        <v>-15.1</v>
      </c>
      <c r="G844" s="245">
        <v>-14.4</v>
      </c>
      <c r="H844" s="245">
        <v>-7.9</v>
      </c>
      <c r="I844" s="245">
        <v>2.9</v>
      </c>
      <c r="J844" s="245">
        <v>11.7</v>
      </c>
      <c r="K844" s="245">
        <v>17.3</v>
      </c>
      <c r="L844" s="245">
        <v>19.2</v>
      </c>
      <c r="M844" s="245">
        <v>16.600000000000001</v>
      </c>
      <c r="N844" s="245">
        <v>11.3</v>
      </c>
      <c r="O844" s="245">
        <v>3.5</v>
      </c>
      <c r="P844" s="245">
        <v>-6.6</v>
      </c>
      <c r="Q844" s="245">
        <v>-13.2</v>
      </c>
      <c r="R844" s="246">
        <v>2.1</v>
      </c>
      <c r="S844" s="233">
        <v>6</v>
      </c>
      <c r="T844" s="247" t="s">
        <v>1540</v>
      </c>
      <c r="U844" s="245">
        <v>-44</v>
      </c>
      <c r="V844" s="245">
        <v>-41</v>
      </c>
      <c r="W844" s="245">
        <v>-40</v>
      </c>
      <c r="X844" s="245">
        <v>-38</v>
      </c>
      <c r="Y844" s="245">
        <v>-20</v>
      </c>
      <c r="Z844" s="245">
        <v>-49</v>
      </c>
      <c r="AA844" s="245">
        <v>10.5</v>
      </c>
      <c r="AB844" s="245">
        <v>163</v>
      </c>
      <c r="AC844" s="245">
        <v>-10.199999999999999</v>
      </c>
      <c r="AD844" s="245">
        <v>217</v>
      </c>
      <c r="AE844" s="245">
        <v>-6.6</v>
      </c>
      <c r="AF844" s="245">
        <v>232</v>
      </c>
      <c r="AG844" s="245">
        <v>-5.6</v>
      </c>
      <c r="AH844" s="245">
        <v>78</v>
      </c>
      <c r="AI844" s="245">
        <v>74</v>
      </c>
      <c r="AJ844" s="245">
        <v>204</v>
      </c>
      <c r="AK844" s="245" t="s">
        <v>963</v>
      </c>
      <c r="AL844" s="245">
        <v>6.9</v>
      </c>
      <c r="AM844" s="246">
        <v>3.7</v>
      </c>
      <c r="AN844" s="235">
        <v>6</v>
      </c>
      <c r="AO844" s="247" t="s">
        <v>1541</v>
      </c>
      <c r="AP844" s="247">
        <v>965</v>
      </c>
      <c r="AQ844" s="247">
        <v>23.6</v>
      </c>
      <c r="AR844" s="247">
        <v>27.7</v>
      </c>
      <c r="AS844" s="247">
        <v>26</v>
      </c>
      <c r="AT844" s="247">
        <v>40</v>
      </c>
      <c r="AU844" s="247">
        <v>13.3</v>
      </c>
      <c r="AV844" s="247">
        <v>68</v>
      </c>
      <c r="AW844" s="247">
        <v>52</v>
      </c>
      <c r="AX844" s="247">
        <v>445</v>
      </c>
      <c r="AY844" s="247">
        <v>113</v>
      </c>
      <c r="AZ844" s="247" t="s">
        <v>940</v>
      </c>
      <c r="BA844" s="248">
        <v>0</v>
      </c>
      <c r="BB844" s="235">
        <v>5</v>
      </c>
      <c r="BC844" s="247" t="s">
        <v>1539</v>
      </c>
      <c r="BD844" s="247">
        <v>1.8</v>
      </c>
      <c r="BE844" s="247">
        <v>1.8</v>
      </c>
      <c r="BF844" s="247">
        <v>2.9</v>
      </c>
      <c r="BG844" s="247">
        <v>5.3</v>
      </c>
      <c r="BH844" s="247">
        <v>7.9</v>
      </c>
      <c r="BI844" s="247">
        <v>12.1</v>
      </c>
      <c r="BJ844" s="247">
        <v>14.6</v>
      </c>
      <c r="BK844" s="247">
        <v>12.6</v>
      </c>
      <c r="BL844" s="247">
        <v>8.5</v>
      </c>
      <c r="BM844" s="247">
        <v>5.4</v>
      </c>
      <c r="BN844" s="247">
        <v>3.2</v>
      </c>
      <c r="BO844" s="247">
        <v>2.1</v>
      </c>
      <c r="BP844" s="248">
        <v>6.5</v>
      </c>
    </row>
    <row r="845" spans="1:68" ht="14.25" customHeight="1">
      <c r="A845" s="233">
        <v>188</v>
      </c>
      <c r="B845" s="234">
        <v>622</v>
      </c>
      <c r="C845" s="244" t="s">
        <v>953</v>
      </c>
      <c r="D845" s="244" t="s">
        <v>1345</v>
      </c>
      <c r="E845" s="244" t="s">
        <v>1542</v>
      </c>
      <c r="F845" s="245">
        <v>-5.9</v>
      </c>
      <c r="G845" s="245">
        <v>-4.5999999999999996</v>
      </c>
      <c r="H845" s="245">
        <v>0.3</v>
      </c>
      <c r="I845" s="245">
        <v>8.6999999999999993</v>
      </c>
      <c r="J845" s="245">
        <v>15.1</v>
      </c>
      <c r="K845" s="245">
        <v>18.5</v>
      </c>
      <c r="L845" s="245">
        <v>19.899999999999999</v>
      </c>
      <c r="M845" s="245">
        <v>19.3</v>
      </c>
      <c r="N845" s="245">
        <v>14.4</v>
      </c>
      <c r="O845" s="245">
        <v>7.9</v>
      </c>
      <c r="P845" s="245">
        <v>2.1</v>
      </c>
      <c r="Q845" s="245">
        <v>-2.5</v>
      </c>
      <c r="R845" s="246">
        <v>7.8</v>
      </c>
      <c r="S845" s="233">
        <v>611</v>
      </c>
      <c r="T845" s="247" t="s">
        <v>1542</v>
      </c>
      <c r="U845" s="245">
        <v>-29</v>
      </c>
      <c r="V845" s="245">
        <v>-27</v>
      </c>
      <c r="W845" s="245">
        <v>-25</v>
      </c>
      <c r="X845" s="245">
        <v>-22</v>
      </c>
      <c r="Y845" s="245">
        <v>-10</v>
      </c>
      <c r="Z845" s="245">
        <v>-35</v>
      </c>
      <c r="AA845" s="245" t="s">
        <v>956</v>
      </c>
      <c r="AB845" s="245">
        <v>105</v>
      </c>
      <c r="AC845" s="245">
        <v>-3.9</v>
      </c>
      <c r="AD845" s="245">
        <v>177</v>
      </c>
      <c r="AE845" s="245">
        <v>-0.8</v>
      </c>
      <c r="AF845" s="245">
        <v>193</v>
      </c>
      <c r="AG845" s="245">
        <v>0</v>
      </c>
      <c r="AH845" s="245" t="s">
        <v>956</v>
      </c>
      <c r="AI845" s="245" t="s">
        <v>956</v>
      </c>
      <c r="AJ845" s="245">
        <v>200</v>
      </c>
      <c r="AK845" s="245" t="s">
        <v>963</v>
      </c>
      <c r="AL845" s="245" t="s">
        <v>931</v>
      </c>
      <c r="AM845" s="246" t="s">
        <v>931</v>
      </c>
      <c r="AN845" s="235">
        <v>612</v>
      </c>
      <c r="AO845" s="247" t="s">
        <v>1543</v>
      </c>
      <c r="AP845" s="247">
        <v>995</v>
      </c>
      <c r="AQ845" s="247">
        <v>28</v>
      </c>
      <c r="AR845" s="247">
        <v>24</v>
      </c>
      <c r="AS845" s="247">
        <v>25.8</v>
      </c>
      <c r="AT845" s="247">
        <v>38</v>
      </c>
      <c r="AU845" s="247" t="s">
        <v>934</v>
      </c>
      <c r="AV845" s="247" t="s">
        <v>958</v>
      </c>
      <c r="AW845" s="247" t="s">
        <v>931</v>
      </c>
      <c r="AX845" s="247" t="s">
        <v>931</v>
      </c>
      <c r="AY845" s="247">
        <v>136</v>
      </c>
      <c r="AZ845" s="247" t="s">
        <v>1005</v>
      </c>
      <c r="BA845" s="248">
        <v>1.5</v>
      </c>
      <c r="BB845" s="235"/>
      <c r="BC845" s="247" t="s">
        <v>1542</v>
      </c>
      <c r="BD845" s="247"/>
      <c r="BE845" s="247"/>
      <c r="BF845" s="247"/>
      <c r="BG845" s="247"/>
      <c r="BH845" s="247"/>
      <c r="BI845" s="247"/>
      <c r="BJ845" s="247"/>
      <c r="BK845" s="247"/>
      <c r="BL845" s="247"/>
      <c r="BM845" s="247"/>
      <c r="BN845" s="247"/>
      <c r="BO845" s="247"/>
      <c r="BP845" s="248"/>
    </row>
    <row r="846" spans="1:68" ht="14.25" customHeight="1">
      <c r="A846" s="233">
        <v>189</v>
      </c>
      <c r="B846" s="234">
        <v>645</v>
      </c>
      <c r="C846" s="244" t="s">
        <v>953</v>
      </c>
      <c r="D846" s="244" t="s">
        <v>1544</v>
      </c>
      <c r="E846" s="244" t="s">
        <v>1545</v>
      </c>
      <c r="F846" s="245">
        <v>-5.9</v>
      </c>
      <c r="G846" s="245">
        <v>-4.5999999999999996</v>
      </c>
      <c r="H846" s="245">
        <v>0.5</v>
      </c>
      <c r="I846" s="245">
        <v>8.9</v>
      </c>
      <c r="J846" s="245">
        <v>15.4</v>
      </c>
      <c r="K846" s="245">
        <v>18.5</v>
      </c>
      <c r="L846" s="245">
        <v>19.7</v>
      </c>
      <c r="M846" s="245">
        <v>18.8</v>
      </c>
      <c r="N846" s="245">
        <v>13.9</v>
      </c>
      <c r="O846" s="245">
        <v>7.7</v>
      </c>
      <c r="P846" s="245">
        <v>2.1</v>
      </c>
      <c r="Q846" s="245">
        <v>-2.5</v>
      </c>
      <c r="R846" s="246">
        <v>7.7</v>
      </c>
      <c r="S846" s="233">
        <v>634</v>
      </c>
      <c r="T846" s="247" t="s">
        <v>1545</v>
      </c>
      <c r="U846" s="245">
        <v>-29</v>
      </c>
      <c r="V846" s="245">
        <v>-26</v>
      </c>
      <c r="W846" s="245">
        <v>-24</v>
      </c>
      <c r="X846" s="245">
        <v>-21</v>
      </c>
      <c r="Y846" s="245">
        <v>-8</v>
      </c>
      <c r="Z846" s="245">
        <v>-36</v>
      </c>
      <c r="AA846" s="245" t="s">
        <v>956</v>
      </c>
      <c r="AB846" s="245">
        <v>104</v>
      </c>
      <c r="AC846" s="245">
        <v>-3.9</v>
      </c>
      <c r="AD846" s="245">
        <v>177</v>
      </c>
      <c r="AE846" s="245">
        <v>-0.8</v>
      </c>
      <c r="AF846" s="245">
        <v>194</v>
      </c>
      <c r="AG846" s="245">
        <v>0.1</v>
      </c>
      <c r="AH846" s="245" t="s">
        <v>956</v>
      </c>
      <c r="AI846" s="245" t="s">
        <v>956</v>
      </c>
      <c r="AJ846" s="245">
        <v>205</v>
      </c>
      <c r="AK846" s="245" t="s">
        <v>990</v>
      </c>
      <c r="AL846" s="245" t="s">
        <v>931</v>
      </c>
      <c r="AM846" s="246" t="s">
        <v>931</v>
      </c>
      <c r="AN846" s="235">
        <v>635</v>
      </c>
      <c r="AO846" s="247" t="s">
        <v>1546</v>
      </c>
      <c r="AP846" s="247">
        <v>1005</v>
      </c>
      <c r="AQ846" s="247">
        <v>29</v>
      </c>
      <c r="AR846" s="247">
        <v>24</v>
      </c>
      <c r="AS846" s="247">
        <v>25.6</v>
      </c>
      <c r="AT846" s="247">
        <v>39</v>
      </c>
      <c r="AU846" s="247" t="s">
        <v>934</v>
      </c>
      <c r="AV846" s="247" t="s">
        <v>958</v>
      </c>
      <c r="AW846" s="247" t="s">
        <v>931</v>
      </c>
      <c r="AX846" s="247" t="s">
        <v>931</v>
      </c>
      <c r="AY846" s="247">
        <v>89</v>
      </c>
      <c r="AZ846" s="247" t="s">
        <v>959</v>
      </c>
      <c r="BA846" s="248">
        <v>1.8</v>
      </c>
      <c r="BB846" s="235"/>
      <c r="BC846" s="247" t="s">
        <v>1545</v>
      </c>
      <c r="BD846" s="247"/>
      <c r="BE846" s="247"/>
      <c r="BF846" s="247"/>
      <c r="BG846" s="247"/>
      <c r="BH846" s="247"/>
      <c r="BI846" s="247"/>
      <c r="BJ846" s="247"/>
      <c r="BK846" s="247"/>
      <c r="BL846" s="247"/>
      <c r="BM846" s="247"/>
      <c r="BN846" s="247"/>
      <c r="BO846" s="247"/>
      <c r="BP846" s="248"/>
    </row>
    <row r="847" spans="1:68" ht="14.25" customHeight="1">
      <c r="A847" s="233">
        <v>190</v>
      </c>
      <c r="B847" s="234">
        <v>416</v>
      </c>
      <c r="C847" s="244" t="s">
        <v>928</v>
      </c>
      <c r="D847" s="244" t="s">
        <v>969</v>
      </c>
      <c r="E847" s="244" t="s">
        <v>1547</v>
      </c>
      <c r="F847" s="245">
        <v>-36.799999999999997</v>
      </c>
      <c r="G847" s="245">
        <v>-33.9</v>
      </c>
      <c r="H847" s="245">
        <v>-25.9</v>
      </c>
      <c r="I847" s="245">
        <v>-12.4</v>
      </c>
      <c r="J847" s="245">
        <v>2.7</v>
      </c>
      <c r="K847" s="245">
        <v>13.1</v>
      </c>
      <c r="L847" s="245">
        <v>15.1</v>
      </c>
      <c r="M847" s="245">
        <v>11.8</v>
      </c>
      <c r="N847" s="245">
        <v>3.8</v>
      </c>
      <c r="O847" s="245">
        <v>-11.1</v>
      </c>
      <c r="P847" s="245">
        <v>-28.1</v>
      </c>
      <c r="Q847" s="245">
        <v>-35.4</v>
      </c>
      <c r="R847" s="246">
        <v>-11.4</v>
      </c>
      <c r="S847" s="233">
        <v>416</v>
      </c>
      <c r="T847" s="247" t="s">
        <v>1547</v>
      </c>
      <c r="U847" s="245">
        <v>-54</v>
      </c>
      <c r="V847" s="245">
        <v>-53</v>
      </c>
      <c r="W847" s="245">
        <v>-53</v>
      </c>
      <c r="X847" s="245">
        <v>-51</v>
      </c>
      <c r="Y847" s="245">
        <v>-42</v>
      </c>
      <c r="Z847" s="245">
        <v>-56</v>
      </c>
      <c r="AA847" s="245">
        <v>6.9</v>
      </c>
      <c r="AB847" s="245">
        <v>229</v>
      </c>
      <c r="AC847" s="245">
        <v>-23.9</v>
      </c>
      <c r="AD847" s="245">
        <v>274</v>
      </c>
      <c r="AE847" s="245">
        <v>-19.2</v>
      </c>
      <c r="AF847" s="245">
        <v>288</v>
      </c>
      <c r="AG847" s="245">
        <v>-17.899999999999999</v>
      </c>
      <c r="AH847" s="245">
        <v>77</v>
      </c>
      <c r="AI847" s="245">
        <v>77</v>
      </c>
      <c r="AJ847" s="245">
        <v>97</v>
      </c>
      <c r="AK847" s="245" t="s">
        <v>944</v>
      </c>
      <c r="AL847" s="245">
        <v>5.3</v>
      </c>
      <c r="AM847" s="246">
        <v>2.2000000000000002</v>
      </c>
      <c r="AN847" s="235">
        <v>416</v>
      </c>
      <c r="AO847" s="247" t="s">
        <v>1548</v>
      </c>
      <c r="AP847" s="247">
        <v>1005</v>
      </c>
      <c r="AQ847" s="247">
        <v>18.399999999999999</v>
      </c>
      <c r="AR847" s="247">
        <v>22.8</v>
      </c>
      <c r="AS847" s="247">
        <v>20.8</v>
      </c>
      <c r="AT847" s="247">
        <v>36</v>
      </c>
      <c r="AU847" s="247">
        <v>10.6</v>
      </c>
      <c r="AV847" s="247">
        <v>69</v>
      </c>
      <c r="AW847" s="247">
        <v>58</v>
      </c>
      <c r="AX847" s="247">
        <v>202</v>
      </c>
      <c r="AY847" s="247">
        <v>40</v>
      </c>
      <c r="AZ847" s="247" t="s">
        <v>1005</v>
      </c>
      <c r="BA847" s="248">
        <v>0</v>
      </c>
      <c r="BB847" s="235">
        <v>380</v>
      </c>
      <c r="BC847" s="247" t="s">
        <v>1547</v>
      </c>
      <c r="BD847" s="247">
        <v>0.3</v>
      </c>
      <c r="BE847" s="247">
        <v>0.3</v>
      </c>
      <c r="BF847" s="247">
        <v>0.7</v>
      </c>
      <c r="BG847" s="247">
        <v>1.8</v>
      </c>
      <c r="BH847" s="247">
        <v>4.5</v>
      </c>
      <c r="BI847" s="247">
        <v>9</v>
      </c>
      <c r="BJ847" s="247">
        <v>11.6</v>
      </c>
      <c r="BK847" s="247">
        <v>10.4</v>
      </c>
      <c r="BL847" s="247">
        <v>6.2</v>
      </c>
      <c r="BM847" s="247">
        <v>2.5</v>
      </c>
      <c r="BN847" s="247">
        <v>0.6</v>
      </c>
      <c r="BO847" s="247">
        <v>0.3</v>
      </c>
      <c r="BP847" s="248">
        <v>4</v>
      </c>
    </row>
    <row r="848" spans="1:68" ht="14.25" customHeight="1">
      <c r="A848" s="233">
        <v>191</v>
      </c>
      <c r="B848" s="234">
        <v>507</v>
      </c>
      <c r="C848" s="244" t="s">
        <v>960</v>
      </c>
      <c r="D848" s="244" t="s">
        <v>1523</v>
      </c>
      <c r="E848" s="244" t="s">
        <v>1549</v>
      </c>
      <c r="F848" s="245">
        <v>-22.6</v>
      </c>
      <c r="G848" s="245">
        <v>-20.8</v>
      </c>
      <c r="H848" s="245">
        <v>-11.7</v>
      </c>
      <c r="I848" s="245">
        <v>1.9</v>
      </c>
      <c r="J848" s="245">
        <v>12.2</v>
      </c>
      <c r="K848" s="245">
        <v>17.100000000000001</v>
      </c>
      <c r="L848" s="245">
        <v>18.899999999999999</v>
      </c>
      <c r="M848" s="245">
        <v>16.5</v>
      </c>
      <c r="N848" s="245">
        <v>10.6</v>
      </c>
      <c r="O848" s="245">
        <v>2.4</v>
      </c>
      <c r="P848" s="245">
        <v>-10.8</v>
      </c>
      <c r="Q848" s="245">
        <v>-19.5</v>
      </c>
      <c r="R848" s="246">
        <v>-0.5</v>
      </c>
      <c r="S848" s="233">
        <v>507</v>
      </c>
      <c r="T848" s="247" t="s">
        <v>1549</v>
      </c>
      <c r="U848" s="245">
        <v>-46</v>
      </c>
      <c r="V848" s="245">
        <v>-44</v>
      </c>
      <c r="W848" s="245">
        <v>-44</v>
      </c>
      <c r="X848" s="245">
        <v>-41</v>
      </c>
      <c r="Y848" s="245" t="s">
        <v>956</v>
      </c>
      <c r="Z848" s="245">
        <v>-51</v>
      </c>
      <c r="AA848" s="245">
        <v>12.3</v>
      </c>
      <c r="AB848" s="245">
        <v>172</v>
      </c>
      <c r="AC848" s="245">
        <v>-15.2</v>
      </c>
      <c r="AD848" s="245">
        <v>217</v>
      </c>
      <c r="AE848" s="245">
        <v>-11.1</v>
      </c>
      <c r="AF848" s="245">
        <v>231</v>
      </c>
      <c r="AG848" s="245">
        <v>-9.9</v>
      </c>
      <c r="AH848" s="245" t="s">
        <v>956</v>
      </c>
      <c r="AI848" s="245" t="s">
        <v>956</v>
      </c>
      <c r="AJ848" s="245">
        <v>218</v>
      </c>
      <c r="AK848" s="245" t="s">
        <v>931</v>
      </c>
      <c r="AL848" s="245" t="s">
        <v>931</v>
      </c>
      <c r="AM848" s="246" t="s">
        <v>931</v>
      </c>
      <c r="AN848" s="235">
        <v>507</v>
      </c>
      <c r="AO848" s="247" t="s">
        <v>1550</v>
      </c>
      <c r="AP848" s="247" t="s">
        <v>965</v>
      </c>
      <c r="AQ848" s="247" t="s">
        <v>958</v>
      </c>
      <c r="AR848" s="247" t="s">
        <v>931</v>
      </c>
      <c r="AS848" s="247">
        <v>26.9</v>
      </c>
      <c r="AT848" s="247">
        <v>40</v>
      </c>
      <c r="AU848" s="247">
        <v>15.9</v>
      </c>
      <c r="AV848" s="247" t="s">
        <v>958</v>
      </c>
      <c r="AW848" s="247" t="s">
        <v>931</v>
      </c>
      <c r="AX848" s="247">
        <v>387</v>
      </c>
      <c r="AY848" s="247" t="s">
        <v>965</v>
      </c>
      <c r="AZ848" s="247" t="s">
        <v>933</v>
      </c>
      <c r="BA848" s="248" t="s">
        <v>934</v>
      </c>
      <c r="BB848" s="235"/>
      <c r="BC848" s="247" t="s">
        <v>1549</v>
      </c>
      <c r="BD848" s="247"/>
      <c r="BE848" s="247"/>
      <c r="BF848" s="247"/>
      <c r="BG848" s="247"/>
      <c r="BH848" s="247"/>
      <c r="BI848" s="247"/>
      <c r="BJ848" s="247"/>
      <c r="BK848" s="247"/>
      <c r="BL848" s="247"/>
      <c r="BM848" s="247"/>
      <c r="BN848" s="247"/>
      <c r="BO848" s="247"/>
      <c r="BP848" s="248"/>
    </row>
    <row r="849" spans="1:68" ht="14.25" customHeight="1">
      <c r="A849" s="233">
        <v>192</v>
      </c>
      <c r="B849" s="234">
        <v>81</v>
      </c>
      <c r="C849" s="244" t="s">
        <v>928</v>
      </c>
      <c r="D849" s="244" t="s">
        <v>1551</v>
      </c>
      <c r="E849" s="244" t="s">
        <v>161</v>
      </c>
      <c r="F849" s="245">
        <v>-11.9</v>
      </c>
      <c r="G849" s="245">
        <v>-10.9</v>
      </c>
      <c r="H849" s="245">
        <v>-5.0999999999999996</v>
      </c>
      <c r="I849" s="245">
        <v>4.0999999999999996</v>
      </c>
      <c r="J849" s="245">
        <v>11.4</v>
      </c>
      <c r="K849" s="245">
        <v>15.8</v>
      </c>
      <c r="L849" s="245">
        <v>17.600000000000001</v>
      </c>
      <c r="M849" s="245">
        <v>15.8</v>
      </c>
      <c r="N849" s="245">
        <v>10.1</v>
      </c>
      <c r="O849" s="245">
        <v>3.5</v>
      </c>
      <c r="P849" s="245">
        <v>-3.1</v>
      </c>
      <c r="Q849" s="245">
        <v>-8.1</v>
      </c>
      <c r="R849" s="246">
        <v>3.3</v>
      </c>
      <c r="S849" s="233">
        <v>81</v>
      </c>
      <c r="T849" s="247" t="s">
        <v>1552</v>
      </c>
      <c r="U849" s="245">
        <v>-38</v>
      </c>
      <c r="V849" s="245">
        <v>-34</v>
      </c>
      <c r="W849" s="245">
        <v>-34</v>
      </c>
      <c r="X849" s="245">
        <v>-30</v>
      </c>
      <c r="Y849" s="245">
        <v>-17</v>
      </c>
      <c r="Z849" s="245">
        <v>-45</v>
      </c>
      <c r="AA849" s="245">
        <v>7.1</v>
      </c>
      <c r="AB849" s="245">
        <v>152</v>
      </c>
      <c r="AC849" s="245">
        <v>-7.4</v>
      </c>
      <c r="AD849" s="245">
        <v>219</v>
      </c>
      <c r="AE849" s="245">
        <v>-3.9</v>
      </c>
      <c r="AF849" s="245">
        <v>236</v>
      </c>
      <c r="AG849" s="245">
        <v>-2.9</v>
      </c>
      <c r="AH849" s="245">
        <v>85</v>
      </c>
      <c r="AI849" s="245">
        <v>84</v>
      </c>
      <c r="AJ849" s="245">
        <v>209</v>
      </c>
      <c r="AK849" s="245" t="s">
        <v>963</v>
      </c>
      <c r="AL849" s="245">
        <v>4.9000000000000004</v>
      </c>
      <c r="AM849" s="246">
        <v>4.2</v>
      </c>
      <c r="AN849" s="235">
        <v>81</v>
      </c>
      <c r="AO849" s="247" t="s">
        <v>1553</v>
      </c>
      <c r="AP849" s="247">
        <v>995</v>
      </c>
      <c r="AQ849" s="247">
        <v>20.9</v>
      </c>
      <c r="AR849" s="247">
        <v>25.1</v>
      </c>
      <c r="AS849" s="247">
        <v>23.3</v>
      </c>
      <c r="AT849" s="247">
        <v>38</v>
      </c>
      <c r="AU849" s="247">
        <v>11.1</v>
      </c>
      <c r="AV849" s="247">
        <v>72</v>
      </c>
      <c r="AW849" s="247">
        <v>56</v>
      </c>
      <c r="AX849" s="247">
        <v>437</v>
      </c>
      <c r="AY849" s="247">
        <v>78</v>
      </c>
      <c r="AZ849" s="247" t="s">
        <v>952</v>
      </c>
      <c r="BA849" s="248">
        <v>2.8</v>
      </c>
      <c r="BB849" s="235">
        <v>66</v>
      </c>
      <c r="BC849" s="247" t="s">
        <v>161</v>
      </c>
      <c r="BD849" s="247">
        <v>2.6</v>
      </c>
      <c r="BE849" s="247">
        <v>2.6</v>
      </c>
      <c r="BF849" s="247">
        <v>3.6</v>
      </c>
      <c r="BG849" s="247">
        <v>6.1</v>
      </c>
      <c r="BH849" s="247">
        <v>9</v>
      </c>
      <c r="BI849" s="247">
        <v>12.4</v>
      </c>
      <c r="BJ849" s="247">
        <v>14.8</v>
      </c>
      <c r="BK849" s="247">
        <v>13.7</v>
      </c>
      <c r="BL849" s="247">
        <v>10.199999999999999</v>
      </c>
      <c r="BM849" s="247">
        <v>6.8</v>
      </c>
      <c r="BN849" s="247">
        <v>4.5999999999999996</v>
      </c>
      <c r="BO849" s="247">
        <v>3.4</v>
      </c>
      <c r="BP849" s="248">
        <v>7.5</v>
      </c>
    </row>
    <row r="850" spans="1:68" ht="14.25" customHeight="1">
      <c r="A850" s="233">
        <v>193</v>
      </c>
      <c r="B850" s="234">
        <v>619</v>
      </c>
      <c r="C850" s="244" t="s">
        <v>953</v>
      </c>
      <c r="D850" s="244" t="s">
        <v>1554</v>
      </c>
      <c r="E850" s="244" t="s">
        <v>1555</v>
      </c>
      <c r="F850" s="245">
        <v>-5.0999999999999996</v>
      </c>
      <c r="G850" s="245">
        <v>-3.2</v>
      </c>
      <c r="H850" s="245">
        <v>1.4</v>
      </c>
      <c r="I850" s="245">
        <v>8.1</v>
      </c>
      <c r="J850" s="245">
        <v>13.5</v>
      </c>
      <c r="K850" s="245">
        <v>16.600000000000001</v>
      </c>
      <c r="L850" s="245">
        <v>17.899999999999999</v>
      </c>
      <c r="M850" s="245">
        <v>17.3</v>
      </c>
      <c r="N850" s="245">
        <v>13.5</v>
      </c>
      <c r="O850" s="245">
        <v>8</v>
      </c>
      <c r="P850" s="245">
        <v>2.6</v>
      </c>
      <c r="Q850" s="245">
        <v>-2.1</v>
      </c>
      <c r="R850" s="246">
        <v>7.4</v>
      </c>
      <c r="S850" s="233">
        <v>608</v>
      </c>
      <c r="T850" s="247" t="s">
        <v>1555</v>
      </c>
      <c r="U850" s="245">
        <v>-26</v>
      </c>
      <c r="V850" s="245">
        <v>-24</v>
      </c>
      <c r="W850" s="245">
        <v>-22</v>
      </c>
      <c r="X850" s="245">
        <v>-20</v>
      </c>
      <c r="Y850" s="245">
        <v>-9</v>
      </c>
      <c r="Z850" s="245">
        <v>-34</v>
      </c>
      <c r="AA850" s="245" t="s">
        <v>956</v>
      </c>
      <c r="AB850" s="245">
        <v>96</v>
      </c>
      <c r="AC850" s="245">
        <v>-3.3</v>
      </c>
      <c r="AD850" s="245">
        <v>178</v>
      </c>
      <c r="AE850" s="245">
        <v>0</v>
      </c>
      <c r="AF850" s="245">
        <v>198</v>
      </c>
      <c r="AG850" s="245">
        <v>0.9</v>
      </c>
      <c r="AH850" s="245" t="s">
        <v>956</v>
      </c>
      <c r="AI850" s="245" t="s">
        <v>956</v>
      </c>
      <c r="AJ850" s="245">
        <v>172</v>
      </c>
      <c r="AK850" s="245" t="s">
        <v>990</v>
      </c>
      <c r="AL850" s="245" t="s">
        <v>931</v>
      </c>
      <c r="AM850" s="246" t="s">
        <v>931</v>
      </c>
      <c r="AN850" s="235">
        <v>609</v>
      </c>
      <c r="AO850" s="247" t="s">
        <v>1556</v>
      </c>
      <c r="AP850" s="247">
        <v>985</v>
      </c>
      <c r="AQ850" s="247">
        <v>26</v>
      </c>
      <c r="AR850" s="247">
        <v>21</v>
      </c>
      <c r="AS850" s="247">
        <v>23.6</v>
      </c>
      <c r="AT850" s="247">
        <v>37</v>
      </c>
      <c r="AU850" s="247" t="s">
        <v>934</v>
      </c>
      <c r="AV850" s="247" t="s">
        <v>958</v>
      </c>
      <c r="AW850" s="247" t="s">
        <v>931</v>
      </c>
      <c r="AX850" s="247" t="s">
        <v>931</v>
      </c>
      <c r="AY850" s="247">
        <v>93</v>
      </c>
      <c r="AZ850" s="247" t="s">
        <v>952</v>
      </c>
      <c r="BA850" s="248">
        <v>1.4</v>
      </c>
      <c r="BB850" s="235"/>
      <c r="BC850" s="247" t="s">
        <v>1555</v>
      </c>
      <c r="BD850" s="247"/>
      <c r="BE850" s="247"/>
      <c r="BF850" s="247"/>
      <c r="BG850" s="247"/>
      <c r="BH850" s="247"/>
      <c r="BI850" s="247"/>
      <c r="BJ850" s="247"/>
      <c r="BK850" s="247"/>
      <c r="BL850" s="247"/>
      <c r="BM850" s="247"/>
      <c r="BN850" s="247"/>
      <c r="BO850" s="247"/>
      <c r="BP850" s="248"/>
    </row>
    <row r="851" spans="1:68" ht="14.25" customHeight="1">
      <c r="A851" s="233">
        <v>194</v>
      </c>
      <c r="B851" s="234">
        <v>280</v>
      </c>
      <c r="C851" s="244" t="s">
        <v>928</v>
      </c>
      <c r="D851" s="244" t="s">
        <v>1290</v>
      </c>
      <c r="E851" s="244" t="s">
        <v>1557</v>
      </c>
      <c r="F851" s="245">
        <v>-19.100000000000001</v>
      </c>
      <c r="G851" s="245">
        <v>-16.7</v>
      </c>
      <c r="H851" s="245">
        <v>-8.4</v>
      </c>
      <c r="I851" s="245">
        <v>1.4</v>
      </c>
      <c r="J851" s="245">
        <v>7.6</v>
      </c>
      <c r="K851" s="245">
        <v>13.9</v>
      </c>
      <c r="L851" s="245">
        <v>16.600000000000001</v>
      </c>
      <c r="M851" s="245">
        <v>13.9</v>
      </c>
      <c r="N851" s="245">
        <v>7.8</v>
      </c>
      <c r="O851" s="245">
        <v>-0.6</v>
      </c>
      <c r="P851" s="245">
        <v>-8.8000000000000007</v>
      </c>
      <c r="Q851" s="245">
        <v>-16.3</v>
      </c>
      <c r="R851" s="246">
        <v>-0.7</v>
      </c>
      <c r="S851" s="233">
        <v>280</v>
      </c>
      <c r="T851" s="247" t="s">
        <v>1558</v>
      </c>
      <c r="U851" s="245">
        <v>-46</v>
      </c>
      <c r="V851" s="245">
        <v>-43</v>
      </c>
      <c r="W851" s="245">
        <v>-43</v>
      </c>
      <c r="X851" s="245">
        <v>-39</v>
      </c>
      <c r="Y851" s="245">
        <v>-24</v>
      </c>
      <c r="Z851" s="245">
        <v>-49</v>
      </c>
      <c r="AA851" s="245">
        <v>14.4</v>
      </c>
      <c r="AB851" s="245">
        <v>179</v>
      </c>
      <c r="AC851" s="245">
        <v>-11.6</v>
      </c>
      <c r="AD851" s="245">
        <v>245</v>
      </c>
      <c r="AE851" s="245">
        <v>-7.4</v>
      </c>
      <c r="AF851" s="245">
        <v>265</v>
      </c>
      <c r="AG851" s="245">
        <v>-6.2</v>
      </c>
      <c r="AH851" s="245">
        <v>78</v>
      </c>
      <c r="AI851" s="245">
        <v>75</v>
      </c>
      <c r="AJ851" s="245">
        <v>112</v>
      </c>
      <c r="AK851" s="245" t="s">
        <v>996</v>
      </c>
      <c r="AL851" s="245" t="s">
        <v>931</v>
      </c>
      <c r="AM851" s="246">
        <v>2.2000000000000002</v>
      </c>
      <c r="AN851" s="235">
        <v>298</v>
      </c>
      <c r="AO851" s="247" t="s">
        <v>1559</v>
      </c>
      <c r="AP851" s="247">
        <v>1000</v>
      </c>
      <c r="AQ851" s="247">
        <v>20.7</v>
      </c>
      <c r="AR851" s="247">
        <v>24.7</v>
      </c>
      <c r="AS851" s="247">
        <v>22.7</v>
      </c>
      <c r="AT851" s="247">
        <v>35</v>
      </c>
      <c r="AU851" s="247">
        <v>11.9</v>
      </c>
      <c r="AV851" s="247">
        <v>70</v>
      </c>
      <c r="AW851" s="247">
        <v>57</v>
      </c>
      <c r="AX851" s="247">
        <v>381</v>
      </c>
      <c r="AY851" s="247">
        <v>91</v>
      </c>
      <c r="AZ851" s="247" t="s">
        <v>1005</v>
      </c>
      <c r="BA851" s="248" t="s">
        <v>934</v>
      </c>
      <c r="BB851" s="235">
        <v>269</v>
      </c>
      <c r="BC851" s="247" t="s">
        <v>1557</v>
      </c>
      <c r="BD851" s="247">
        <v>1.4</v>
      </c>
      <c r="BE851" s="247">
        <v>1.5</v>
      </c>
      <c r="BF851" s="247">
        <v>2.5</v>
      </c>
      <c r="BG851" s="247">
        <v>4.4000000000000004</v>
      </c>
      <c r="BH851" s="247">
        <v>6.3</v>
      </c>
      <c r="BI851" s="247">
        <v>10.1</v>
      </c>
      <c r="BJ851" s="247">
        <v>13.4</v>
      </c>
      <c r="BK851" s="247">
        <v>12.1</v>
      </c>
      <c r="BL851" s="247">
        <v>8.5</v>
      </c>
      <c r="BM851" s="247">
        <v>4.8</v>
      </c>
      <c r="BN851" s="247">
        <v>2.8</v>
      </c>
      <c r="BO851" s="247">
        <v>1.7</v>
      </c>
      <c r="BP851" s="248">
        <v>5.8</v>
      </c>
    </row>
    <row r="852" spans="1:68" ht="14.25" customHeight="1">
      <c r="A852" s="233">
        <v>195</v>
      </c>
      <c r="B852" s="234">
        <v>182</v>
      </c>
      <c r="C852" s="244" t="s">
        <v>928</v>
      </c>
      <c r="D852" s="244" t="s">
        <v>935</v>
      </c>
      <c r="E852" s="244" t="s">
        <v>1560</v>
      </c>
      <c r="F852" s="245">
        <v>-28.1</v>
      </c>
      <c r="G852" s="245">
        <v>-26.3</v>
      </c>
      <c r="H852" s="245">
        <v>-20</v>
      </c>
      <c r="I852" s="245">
        <v>-10.8</v>
      </c>
      <c r="J852" s="245">
        <v>-2</v>
      </c>
      <c r="K852" s="245">
        <v>8.5</v>
      </c>
      <c r="L852" s="245">
        <v>15.1</v>
      </c>
      <c r="M852" s="245">
        <v>11.5</v>
      </c>
      <c r="N852" s="245">
        <v>5.0999999999999996</v>
      </c>
      <c r="O852" s="245">
        <v>-6.5</v>
      </c>
      <c r="P852" s="245">
        <v>-20.8</v>
      </c>
      <c r="Q852" s="245">
        <v>-26.2</v>
      </c>
      <c r="R852" s="246">
        <v>-8.4</v>
      </c>
      <c r="S852" s="233">
        <v>182</v>
      </c>
      <c r="T852" s="247" t="s">
        <v>1561</v>
      </c>
      <c r="U852" s="245">
        <v>-54</v>
      </c>
      <c r="V852" s="245">
        <v>-53</v>
      </c>
      <c r="W852" s="245">
        <v>-50</v>
      </c>
      <c r="X852" s="245">
        <v>-49</v>
      </c>
      <c r="Y852" s="245">
        <v>-33</v>
      </c>
      <c r="Z852" s="245">
        <v>-60</v>
      </c>
      <c r="AA852" s="245">
        <v>9.1999999999999993</v>
      </c>
      <c r="AB852" s="245">
        <v>235</v>
      </c>
      <c r="AC852" s="245">
        <v>-17.8</v>
      </c>
      <c r="AD852" s="245">
        <v>285</v>
      </c>
      <c r="AE852" s="245">
        <v>-13.9</v>
      </c>
      <c r="AF852" s="245">
        <v>303</v>
      </c>
      <c r="AG852" s="245">
        <v>-12.6</v>
      </c>
      <c r="AH852" s="245">
        <v>77</v>
      </c>
      <c r="AI852" s="245">
        <v>76</v>
      </c>
      <c r="AJ852" s="245">
        <v>152</v>
      </c>
      <c r="AK852" s="245" t="s">
        <v>990</v>
      </c>
      <c r="AL852" s="245">
        <v>7.8</v>
      </c>
      <c r="AM852" s="246">
        <v>4.0999999999999996</v>
      </c>
      <c r="AN852" s="235">
        <v>182</v>
      </c>
      <c r="AO852" s="247" t="s">
        <v>1562</v>
      </c>
      <c r="AP852" s="247">
        <v>1005</v>
      </c>
      <c r="AQ852" s="247">
        <v>17.899999999999999</v>
      </c>
      <c r="AR852" s="247">
        <v>22.4</v>
      </c>
      <c r="AS852" s="247">
        <v>20.3</v>
      </c>
      <c r="AT852" s="247">
        <v>33</v>
      </c>
      <c r="AU852" s="247">
        <v>9.9</v>
      </c>
      <c r="AV852" s="247">
        <v>69</v>
      </c>
      <c r="AW852" s="247">
        <v>60</v>
      </c>
      <c r="AX852" s="247">
        <v>366</v>
      </c>
      <c r="AY852" s="247">
        <v>55</v>
      </c>
      <c r="AZ852" s="247" t="s">
        <v>959</v>
      </c>
      <c r="BA852" s="248">
        <v>4.4000000000000004</v>
      </c>
      <c r="BB852" s="235">
        <v>160</v>
      </c>
      <c r="BC852" s="247" t="s">
        <v>1560</v>
      </c>
      <c r="BD852" s="247">
        <v>0.7</v>
      </c>
      <c r="BE852" s="247">
        <v>0.8</v>
      </c>
      <c r="BF852" s="247">
        <v>1.3</v>
      </c>
      <c r="BG852" s="247">
        <v>2.2999999999999998</v>
      </c>
      <c r="BH852" s="247">
        <v>3.9</v>
      </c>
      <c r="BI852" s="247">
        <v>7.7</v>
      </c>
      <c r="BJ852" s="247">
        <v>12</v>
      </c>
      <c r="BK852" s="247">
        <v>10.6</v>
      </c>
      <c r="BL852" s="247">
        <v>7.3</v>
      </c>
      <c r="BM852" s="247">
        <v>3.6</v>
      </c>
      <c r="BN852" s="247">
        <v>1.4</v>
      </c>
      <c r="BO852" s="247">
        <v>0.9</v>
      </c>
      <c r="BP852" s="248">
        <v>4.4000000000000004</v>
      </c>
    </row>
    <row r="853" spans="1:68" ht="14.25" customHeight="1">
      <c r="A853" s="233">
        <v>196</v>
      </c>
      <c r="B853" s="234">
        <v>341</v>
      </c>
      <c r="C853" s="244" t="s">
        <v>928</v>
      </c>
      <c r="D853" s="244" t="s">
        <v>1367</v>
      </c>
      <c r="E853" s="244" t="s">
        <v>162</v>
      </c>
      <c r="F853" s="245">
        <v>-14.6</v>
      </c>
      <c r="G853" s="245">
        <v>-13.3</v>
      </c>
      <c r="H853" s="245">
        <v>-6.7</v>
      </c>
      <c r="I853" s="245">
        <v>3.3</v>
      </c>
      <c r="J853" s="245">
        <v>11.3</v>
      </c>
      <c r="K853" s="245">
        <v>16.399999999999999</v>
      </c>
      <c r="L853" s="245">
        <v>18.5</v>
      </c>
      <c r="M853" s="245">
        <v>16.399999999999999</v>
      </c>
      <c r="N853" s="245">
        <v>10.1</v>
      </c>
      <c r="O853" s="245">
        <v>2.1</v>
      </c>
      <c r="P853" s="245">
        <v>-5.0999999999999996</v>
      </c>
      <c r="Q853" s="245">
        <v>-11.6</v>
      </c>
      <c r="R853" s="246">
        <v>2.2999999999999998</v>
      </c>
      <c r="S853" s="233">
        <v>341</v>
      </c>
      <c r="T853" s="247" t="s">
        <v>1563</v>
      </c>
      <c r="U853" s="245">
        <v>-41</v>
      </c>
      <c r="V853" s="245">
        <v>-38</v>
      </c>
      <c r="W853" s="245">
        <v>-38</v>
      </c>
      <c r="X853" s="245">
        <v>-34</v>
      </c>
      <c r="Y853" s="245">
        <v>-20</v>
      </c>
      <c r="Z853" s="245">
        <v>-48</v>
      </c>
      <c r="AA853" s="245">
        <v>6.9</v>
      </c>
      <c r="AB853" s="245">
        <v>162</v>
      </c>
      <c r="AC853" s="245">
        <v>-9.1999999999999993</v>
      </c>
      <c r="AD853" s="245">
        <v>222</v>
      </c>
      <c r="AE853" s="245">
        <v>-5.6</v>
      </c>
      <c r="AF853" s="245">
        <v>237</v>
      </c>
      <c r="AG853" s="245">
        <v>-4.7</v>
      </c>
      <c r="AH853" s="245">
        <v>85</v>
      </c>
      <c r="AI853" s="245">
        <v>80</v>
      </c>
      <c r="AJ853" s="245">
        <v>168</v>
      </c>
      <c r="AK853" s="245" t="s">
        <v>971</v>
      </c>
      <c r="AL853" s="245">
        <v>4.8</v>
      </c>
      <c r="AM853" s="246">
        <v>4</v>
      </c>
      <c r="AN853" s="235">
        <v>341</v>
      </c>
      <c r="AO853" s="247" t="s">
        <v>1564</v>
      </c>
      <c r="AP853" s="247">
        <v>995</v>
      </c>
      <c r="AQ853" s="247">
        <v>22.4</v>
      </c>
      <c r="AR853" s="247">
        <v>27</v>
      </c>
      <c r="AS853" s="247">
        <v>24.1</v>
      </c>
      <c r="AT853" s="247">
        <v>37</v>
      </c>
      <c r="AU853" s="247">
        <v>10.6</v>
      </c>
      <c r="AV853" s="247">
        <v>69</v>
      </c>
      <c r="AW853" s="247">
        <v>56</v>
      </c>
      <c r="AX853" s="247">
        <v>342</v>
      </c>
      <c r="AY853" s="247">
        <v>61</v>
      </c>
      <c r="AZ853" s="247" t="s">
        <v>952</v>
      </c>
      <c r="BA853" s="248">
        <v>0</v>
      </c>
      <c r="BB853" s="235">
        <v>308</v>
      </c>
      <c r="BC853" s="247" t="s">
        <v>162</v>
      </c>
      <c r="BD853" s="247">
        <v>2.1</v>
      </c>
      <c r="BE853" s="247">
        <v>2.1</v>
      </c>
      <c r="BF853" s="247">
        <v>3.2</v>
      </c>
      <c r="BG853" s="247">
        <v>5.7</v>
      </c>
      <c r="BH853" s="247">
        <v>8.1999999999999993</v>
      </c>
      <c r="BI853" s="247">
        <v>11.6</v>
      </c>
      <c r="BJ853" s="247">
        <v>14.5</v>
      </c>
      <c r="BK853" s="247">
        <v>13</v>
      </c>
      <c r="BL853" s="247">
        <v>9.5</v>
      </c>
      <c r="BM853" s="247">
        <v>6</v>
      </c>
      <c r="BN853" s="247">
        <v>4</v>
      </c>
      <c r="BO853" s="247">
        <v>2.6</v>
      </c>
      <c r="BP853" s="248">
        <v>6.9</v>
      </c>
    </row>
    <row r="854" spans="1:68" ht="14.25" customHeight="1">
      <c r="A854" s="233">
        <v>197</v>
      </c>
      <c r="B854" s="234">
        <v>627</v>
      </c>
      <c r="C854" s="244" t="s">
        <v>953</v>
      </c>
      <c r="D854" s="244" t="s">
        <v>1565</v>
      </c>
      <c r="E854" s="244" t="s">
        <v>1566</v>
      </c>
      <c r="F854" s="245">
        <v>-1.7</v>
      </c>
      <c r="G854" s="245">
        <v>-0.1</v>
      </c>
      <c r="H854" s="245">
        <v>4</v>
      </c>
      <c r="I854" s="245">
        <v>10.5</v>
      </c>
      <c r="J854" s="245">
        <v>16.2</v>
      </c>
      <c r="K854" s="245">
        <v>20.100000000000001</v>
      </c>
      <c r="L854" s="245">
        <v>21.8</v>
      </c>
      <c r="M854" s="245">
        <v>21.2</v>
      </c>
      <c r="N854" s="245">
        <v>17</v>
      </c>
      <c r="O854" s="245">
        <v>11</v>
      </c>
      <c r="P854" s="245">
        <v>5.7</v>
      </c>
      <c r="Q854" s="245">
        <v>1</v>
      </c>
      <c r="R854" s="246">
        <v>10.6</v>
      </c>
      <c r="S854" s="233">
        <v>616</v>
      </c>
      <c r="T854" s="247" t="s">
        <v>1566</v>
      </c>
      <c r="U854" s="245">
        <v>-22</v>
      </c>
      <c r="V854" s="245">
        <v>-19</v>
      </c>
      <c r="W854" s="245">
        <v>-17</v>
      </c>
      <c r="X854" s="245">
        <v>-15</v>
      </c>
      <c r="Y854" s="245">
        <v>-2</v>
      </c>
      <c r="Z854" s="245">
        <v>-25</v>
      </c>
      <c r="AA854" s="245" t="s">
        <v>956</v>
      </c>
      <c r="AB854" s="245">
        <v>54</v>
      </c>
      <c r="AC854" s="245">
        <v>-1.3</v>
      </c>
      <c r="AD854" s="245">
        <v>153</v>
      </c>
      <c r="AE854" s="245">
        <v>1.9</v>
      </c>
      <c r="AF854" s="245">
        <v>172</v>
      </c>
      <c r="AG854" s="245">
        <v>2.7</v>
      </c>
      <c r="AH854" s="245" t="s">
        <v>956</v>
      </c>
      <c r="AI854" s="245" t="s">
        <v>956</v>
      </c>
      <c r="AJ854" s="245">
        <v>188</v>
      </c>
      <c r="AK854" s="245" t="s">
        <v>996</v>
      </c>
      <c r="AL854" s="245">
        <v>6.4</v>
      </c>
      <c r="AM854" s="246" t="s">
        <v>931</v>
      </c>
      <c r="AN854" s="235">
        <v>617</v>
      </c>
      <c r="AO854" s="247" t="s">
        <v>1567</v>
      </c>
      <c r="AP854" s="247">
        <v>1015</v>
      </c>
      <c r="AQ854" s="247">
        <v>27</v>
      </c>
      <c r="AR854" s="247">
        <v>24</v>
      </c>
      <c r="AS854" s="247">
        <v>25.8</v>
      </c>
      <c r="AT854" s="247">
        <v>38</v>
      </c>
      <c r="AU854" s="247" t="s">
        <v>934</v>
      </c>
      <c r="AV854" s="247" t="s">
        <v>958</v>
      </c>
      <c r="AW854" s="247" t="s">
        <v>931</v>
      </c>
      <c r="AX854" s="247" t="s">
        <v>931</v>
      </c>
      <c r="AY854" s="247">
        <v>76</v>
      </c>
      <c r="AZ854" s="247" t="s">
        <v>1005</v>
      </c>
      <c r="BA854" s="248">
        <v>2.2999999999999998</v>
      </c>
      <c r="BB854" s="235"/>
      <c r="BC854" s="247" t="s">
        <v>1566</v>
      </c>
      <c r="BD854" s="247"/>
      <c r="BE854" s="247"/>
      <c r="BF854" s="247"/>
      <c r="BG854" s="247"/>
      <c r="BH854" s="247"/>
      <c r="BI854" s="247"/>
      <c r="BJ854" s="247"/>
      <c r="BK854" s="247"/>
      <c r="BL854" s="247"/>
      <c r="BM854" s="247"/>
      <c r="BN854" s="247"/>
      <c r="BO854" s="247"/>
      <c r="BP854" s="248"/>
    </row>
    <row r="855" spans="1:68" ht="14.25" customHeight="1">
      <c r="A855" s="233">
        <v>198</v>
      </c>
      <c r="B855" s="234">
        <v>91</v>
      </c>
      <c r="C855" s="244" t="s">
        <v>928</v>
      </c>
      <c r="D855" s="244" t="s">
        <v>1001</v>
      </c>
      <c r="E855" s="244" t="s">
        <v>1568</v>
      </c>
      <c r="F855" s="245">
        <v>-29.4</v>
      </c>
      <c r="G855" s="245">
        <v>-24.3</v>
      </c>
      <c r="H855" s="245">
        <v>-15.4</v>
      </c>
      <c r="I855" s="245">
        <v>-3.9</v>
      </c>
      <c r="J855" s="245">
        <v>5.3</v>
      </c>
      <c r="K855" s="245">
        <v>13.7</v>
      </c>
      <c r="L855" s="245">
        <v>16.7</v>
      </c>
      <c r="M855" s="245">
        <v>13</v>
      </c>
      <c r="N855" s="245">
        <v>5.7</v>
      </c>
      <c r="O855" s="245">
        <v>-3.6</v>
      </c>
      <c r="P855" s="245">
        <v>-18.2</v>
      </c>
      <c r="Q855" s="245">
        <v>-28.1</v>
      </c>
      <c r="R855" s="246">
        <v>-5.7</v>
      </c>
      <c r="S855" s="233">
        <v>91</v>
      </c>
      <c r="T855" s="247" t="s">
        <v>1569</v>
      </c>
      <c r="U855" s="245">
        <v>-56</v>
      </c>
      <c r="V855" s="245">
        <v>-53</v>
      </c>
      <c r="W855" s="245">
        <v>-51</v>
      </c>
      <c r="X855" s="245">
        <v>-50</v>
      </c>
      <c r="Y855" s="245">
        <v>-34</v>
      </c>
      <c r="Z855" s="245">
        <v>-58</v>
      </c>
      <c r="AA855" s="245">
        <v>11.8</v>
      </c>
      <c r="AB855" s="245">
        <v>206</v>
      </c>
      <c r="AC855" s="245">
        <v>-17.7</v>
      </c>
      <c r="AD855" s="245">
        <v>262</v>
      </c>
      <c r="AE855" s="245">
        <v>-13</v>
      </c>
      <c r="AF855" s="245">
        <v>278</v>
      </c>
      <c r="AG855" s="245">
        <v>-11.8</v>
      </c>
      <c r="AH855" s="245">
        <v>77</v>
      </c>
      <c r="AI855" s="245">
        <v>77</v>
      </c>
      <c r="AJ855" s="245">
        <v>57</v>
      </c>
      <c r="AK855" s="245" t="s">
        <v>971</v>
      </c>
      <c r="AL855" s="245" t="s">
        <v>931</v>
      </c>
      <c r="AM855" s="246" t="s">
        <v>931</v>
      </c>
      <c r="AN855" s="235">
        <v>91</v>
      </c>
      <c r="AO855" s="247" t="s">
        <v>1570</v>
      </c>
      <c r="AP855" s="247">
        <v>970</v>
      </c>
      <c r="AQ855" s="247">
        <v>21.7</v>
      </c>
      <c r="AR855" s="247">
        <v>25.9</v>
      </c>
      <c r="AS855" s="247">
        <v>24.1</v>
      </c>
      <c r="AT855" s="247">
        <v>35</v>
      </c>
      <c r="AU855" s="247">
        <v>15.6</v>
      </c>
      <c r="AV855" s="247">
        <v>75</v>
      </c>
      <c r="AW855" s="247">
        <v>56</v>
      </c>
      <c r="AX855" s="247">
        <v>285</v>
      </c>
      <c r="AY855" s="247" t="s">
        <v>965</v>
      </c>
      <c r="AZ855" s="247" t="s">
        <v>952</v>
      </c>
      <c r="BA855" s="248" t="s">
        <v>934</v>
      </c>
      <c r="BB855" s="235">
        <v>75</v>
      </c>
      <c r="BC855" s="247" t="s">
        <v>1568</v>
      </c>
      <c r="BD855" s="247">
        <v>0.7</v>
      </c>
      <c r="BE855" s="247">
        <v>0.8</v>
      </c>
      <c r="BF855" s="247">
        <v>1.4</v>
      </c>
      <c r="BG855" s="247">
        <v>3</v>
      </c>
      <c r="BH855" s="247">
        <v>5.0999999999999996</v>
      </c>
      <c r="BI855" s="247">
        <v>10</v>
      </c>
      <c r="BJ855" s="247">
        <v>13.8</v>
      </c>
      <c r="BK855" s="247">
        <v>11.2</v>
      </c>
      <c r="BL855" s="247">
        <v>6.8</v>
      </c>
      <c r="BM855" s="247">
        <v>3.9</v>
      </c>
      <c r="BN855" s="247">
        <v>1.4</v>
      </c>
      <c r="BO855" s="247">
        <v>0.9</v>
      </c>
      <c r="BP855" s="248">
        <v>4.9000000000000004</v>
      </c>
    </row>
    <row r="856" spans="1:68" ht="14.25" customHeight="1">
      <c r="A856" s="233">
        <v>199</v>
      </c>
      <c r="B856" s="234">
        <v>92</v>
      </c>
      <c r="C856" s="244" t="s">
        <v>928</v>
      </c>
      <c r="D856" s="244" t="s">
        <v>1001</v>
      </c>
      <c r="E856" s="244" t="s">
        <v>1571</v>
      </c>
      <c r="F856" s="245">
        <v>-25.4</v>
      </c>
      <c r="G856" s="245">
        <v>-22</v>
      </c>
      <c r="H856" s="245">
        <v>-12.6</v>
      </c>
      <c r="I856" s="245">
        <v>-1.6</v>
      </c>
      <c r="J856" s="245">
        <v>6.3</v>
      </c>
      <c r="K856" s="245">
        <v>14.2</v>
      </c>
      <c r="L856" s="245">
        <v>17.600000000000001</v>
      </c>
      <c r="M856" s="245">
        <v>14.2</v>
      </c>
      <c r="N856" s="245">
        <v>6.6</v>
      </c>
      <c r="O856" s="245">
        <v>-2</v>
      </c>
      <c r="P856" s="245">
        <v>-14.8</v>
      </c>
      <c r="Q856" s="245">
        <v>-23.8</v>
      </c>
      <c r="R856" s="246">
        <v>-3.6</v>
      </c>
      <c r="S856" s="233">
        <v>92</v>
      </c>
      <c r="T856" s="247" t="s">
        <v>1572</v>
      </c>
      <c r="U856" s="245">
        <v>-50</v>
      </c>
      <c r="V856" s="245">
        <v>-49</v>
      </c>
      <c r="W856" s="245">
        <v>-48</v>
      </c>
      <c r="X856" s="245">
        <v>-45</v>
      </c>
      <c r="Y856" s="245">
        <v>-30</v>
      </c>
      <c r="Z856" s="245">
        <v>-59</v>
      </c>
      <c r="AA856" s="245">
        <v>11.8</v>
      </c>
      <c r="AB856" s="245">
        <v>195</v>
      </c>
      <c r="AC856" s="245">
        <v>-15.6</v>
      </c>
      <c r="AD856" s="245">
        <v>255</v>
      </c>
      <c r="AE856" s="245">
        <v>-11</v>
      </c>
      <c r="AF856" s="245">
        <v>270</v>
      </c>
      <c r="AG856" s="245">
        <v>-9.8000000000000007</v>
      </c>
      <c r="AH856" s="245">
        <v>79</v>
      </c>
      <c r="AI856" s="245">
        <v>76</v>
      </c>
      <c r="AJ856" s="245">
        <v>109</v>
      </c>
      <c r="AK856" s="245" t="s">
        <v>982</v>
      </c>
      <c r="AL856" s="245" t="s">
        <v>931</v>
      </c>
      <c r="AM856" s="246">
        <v>1.8</v>
      </c>
      <c r="AN856" s="235">
        <v>92</v>
      </c>
      <c r="AO856" s="247" t="s">
        <v>1573</v>
      </c>
      <c r="AP856" s="247">
        <v>975</v>
      </c>
      <c r="AQ856" s="247">
        <v>23.1</v>
      </c>
      <c r="AR856" s="247">
        <v>27.2</v>
      </c>
      <c r="AS856" s="247">
        <v>25.5</v>
      </c>
      <c r="AT856" s="247">
        <v>38</v>
      </c>
      <c r="AU856" s="247">
        <v>15.3</v>
      </c>
      <c r="AV856" s="247">
        <v>74</v>
      </c>
      <c r="AW856" s="247">
        <v>52</v>
      </c>
      <c r="AX856" s="247">
        <v>336</v>
      </c>
      <c r="AY856" s="247">
        <v>52</v>
      </c>
      <c r="AZ856" s="247" t="s">
        <v>1038</v>
      </c>
      <c r="BA856" s="248" t="s">
        <v>934</v>
      </c>
      <c r="BB856" s="235">
        <v>76</v>
      </c>
      <c r="BC856" s="247" t="s">
        <v>1571</v>
      </c>
      <c r="BD856" s="247">
        <v>0.9</v>
      </c>
      <c r="BE856" s="247">
        <v>1.1000000000000001</v>
      </c>
      <c r="BF856" s="247">
        <v>1.8</v>
      </c>
      <c r="BG856" s="247">
        <v>3.6</v>
      </c>
      <c r="BH856" s="247">
        <v>5.8</v>
      </c>
      <c r="BI856" s="247">
        <v>10.8</v>
      </c>
      <c r="BJ856" s="247">
        <v>14.4</v>
      </c>
      <c r="BK856" s="247">
        <v>12.7</v>
      </c>
      <c r="BL856" s="247">
        <v>8</v>
      </c>
      <c r="BM856" s="247">
        <v>4.5999999999999996</v>
      </c>
      <c r="BN856" s="247">
        <v>1.9</v>
      </c>
      <c r="BO856" s="247">
        <v>1.1000000000000001</v>
      </c>
      <c r="BP856" s="248">
        <v>5.6</v>
      </c>
    </row>
    <row r="857" spans="1:68" ht="14.25" customHeight="1">
      <c r="A857" s="233">
        <v>200</v>
      </c>
      <c r="B857" s="234">
        <v>361</v>
      </c>
      <c r="C857" s="244" t="s">
        <v>928</v>
      </c>
      <c r="D857" s="244" t="s">
        <v>1081</v>
      </c>
      <c r="E857" s="244" t="s">
        <v>1574</v>
      </c>
      <c r="F857" s="245">
        <v>-29.3</v>
      </c>
      <c r="G857" s="245">
        <v>-22.8</v>
      </c>
      <c r="H857" s="245">
        <v>-12.7</v>
      </c>
      <c r="I857" s="245">
        <v>-0.8</v>
      </c>
      <c r="J857" s="245">
        <v>6.9</v>
      </c>
      <c r="K857" s="245">
        <v>13.3</v>
      </c>
      <c r="L857" s="245">
        <v>17.8</v>
      </c>
      <c r="M857" s="245">
        <v>16.600000000000001</v>
      </c>
      <c r="N857" s="245">
        <v>10.7</v>
      </c>
      <c r="O857" s="245">
        <v>0.7</v>
      </c>
      <c r="P857" s="245">
        <v>-13.8</v>
      </c>
      <c r="Q857" s="245">
        <v>-25.6</v>
      </c>
      <c r="R857" s="246">
        <v>-3.2</v>
      </c>
      <c r="S857" s="233">
        <v>361</v>
      </c>
      <c r="T857" s="247" t="s">
        <v>1575</v>
      </c>
      <c r="U857" s="245">
        <v>-45</v>
      </c>
      <c r="V857" s="245">
        <v>-43</v>
      </c>
      <c r="W857" s="245">
        <v>-43</v>
      </c>
      <c r="X857" s="245">
        <v>-41</v>
      </c>
      <c r="Y857" s="245">
        <v>-34</v>
      </c>
      <c r="Z857" s="245">
        <v>-52</v>
      </c>
      <c r="AA857" s="245">
        <v>14.7</v>
      </c>
      <c r="AB857" s="245">
        <v>183</v>
      </c>
      <c r="AC857" s="245">
        <v>-17.2</v>
      </c>
      <c r="AD857" s="245">
        <v>240</v>
      </c>
      <c r="AE857" s="245">
        <v>-12.2</v>
      </c>
      <c r="AF857" s="245">
        <v>255</v>
      </c>
      <c r="AG857" s="245">
        <v>-10.9</v>
      </c>
      <c r="AH857" s="245">
        <v>77</v>
      </c>
      <c r="AI857" s="245">
        <v>72</v>
      </c>
      <c r="AJ857" s="245">
        <v>65</v>
      </c>
      <c r="AK857" s="245" t="s">
        <v>996</v>
      </c>
      <c r="AL857" s="245" t="s">
        <v>931</v>
      </c>
      <c r="AM857" s="246">
        <v>2.6</v>
      </c>
      <c r="AN857" s="235">
        <v>361</v>
      </c>
      <c r="AO857" s="247" t="s">
        <v>1576</v>
      </c>
      <c r="AP857" s="247">
        <v>1000</v>
      </c>
      <c r="AQ857" s="247">
        <v>22.2</v>
      </c>
      <c r="AR857" s="247">
        <v>26.4</v>
      </c>
      <c r="AS857" s="247">
        <v>24.6</v>
      </c>
      <c r="AT857" s="247">
        <v>37</v>
      </c>
      <c r="AU857" s="247">
        <v>12.8</v>
      </c>
      <c r="AV857" s="247">
        <v>78</v>
      </c>
      <c r="AW857" s="247">
        <v>63</v>
      </c>
      <c r="AX857" s="247">
        <v>410</v>
      </c>
      <c r="AY857" s="247">
        <v>102</v>
      </c>
      <c r="AZ857" s="247" t="s">
        <v>1005</v>
      </c>
      <c r="BA857" s="248" t="s">
        <v>934</v>
      </c>
      <c r="BB857" s="235">
        <v>326</v>
      </c>
      <c r="BC857" s="247" t="s">
        <v>1574</v>
      </c>
      <c r="BD857" s="247">
        <v>0.6</v>
      </c>
      <c r="BE857" s="247">
        <v>0.9</v>
      </c>
      <c r="BF857" s="247">
        <v>1.8</v>
      </c>
      <c r="BG857" s="247">
        <v>3.7</v>
      </c>
      <c r="BH857" s="247">
        <v>6.4</v>
      </c>
      <c r="BI857" s="247">
        <v>11</v>
      </c>
      <c r="BJ857" s="247">
        <v>15.9</v>
      </c>
      <c r="BK857" s="247">
        <v>15.6</v>
      </c>
      <c r="BL857" s="247">
        <v>10.4</v>
      </c>
      <c r="BM857" s="247">
        <v>4.8</v>
      </c>
      <c r="BN857" s="247">
        <v>1.9</v>
      </c>
      <c r="BO857" s="247">
        <v>0.8</v>
      </c>
      <c r="BP857" s="248">
        <v>6.2</v>
      </c>
    </row>
    <row r="858" spans="1:68" ht="14.25" customHeight="1">
      <c r="A858" s="233">
        <v>201</v>
      </c>
      <c r="B858" s="234">
        <v>451</v>
      </c>
      <c r="C858" s="244" t="s">
        <v>928</v>
      </c>
      <c r="D858" s="244" t="s">
        <v>1257</v>
      </c>
      <c r="E858" s="244" t="s">
        <v>1577</v>
      </c>
      <c r="F858" s="245">
        <v>-13.9</v>
      </c>
      <c r="G858" s="245">
        <v>-14.9</v>
      </c>
      <c r="H858" s="245">
        <v>-12.4</v>
      </c>
      <c r="I858" s="245">
        <v>-6.3</v>
      </c>
      <c r="J858" s="245">
        <v>-0.7</v>
      </c>
      <c r="K858" s="245">
        <v>5.4</v>
      </c>
      <c r="L858" s="245">
        <v>9.9</v>
      </c>
      <c r="M858" s="245">
        <v>10</v>
      </c>
      <c r="N858" s="245">
        <v>6.2</v>
      </c>
      <c r="O858" s="245">
        <v>0.1</v>
      </c>
      <c r="P858" s="245">
        <v>-5.5</v>
      </c>
      <c r="Q858" s="245">
        <v>-10.7</v>
      </c>
      <c r="R858" s="246">
        <v>-2.7</v>
      </c>
      <c r="S858" s="233">
        <v>451</v>
      </c>
      <c r="T858" s="247" t="s">
        <v>1577</v>
      </c>
      <c r="U858" s="245">
        <v>-39</v>
      </c>
      <c r="V858" s="245">
        <v>-38</v>
      </c>
      <c r="W858" s="245">
        <v>-35</v>
      </c>
      <c r="X858" s="245">
        <v>-33</v>
      </c>
      <c r="Y858" s="245">
        <v>-20</v>
      </c>
      <c r="Z858" s="245">
        <v>-43</v>
      </c>
      <c r="AA858" s="245">
        <v>8</v>
      </c>
      <c r="AB858" s="245">
        <v>215</v>
      </c>
      <c r="AC858" s="245">
        <v>-9</v>
      </c>
      <c r="AD858" s="245">
        <v>305</v>
      </c>
      <c r="AE858" s="245">
        <v>-5.0999999999999996</v>
      </c>
      <c r="AF858" s="245">
        <v>350</v>
      </c>
      <c r="AG858" s="245">
        <v>-3.2</v>
      </c>
      <c r="AH858" s="245">
        <v>84</v>
      </c>
      <c r="AI858" s="245">
        <v>84</v>
      </c>
      <c r="AJ858" s="245">
        <v>137</v>
      </c>
      <c r="AK858" s="245" t="s">
        <v>971</v>
      </c>
      <c r="AL858" s="245">
        <v>10.6</v>
      </c>
      <c r="AM858" s="246">
        <v>6.5</v>
      </c>
      <c r="AN858" s="235">
        <v>451</v>
      </c>
      <c r="AO858" s="247" t="s">
        <v>1578</v>
      </c>
      <c r="AP858" s="247">
        <v>1010</v>
      </c>
      <c r="AQ858" s="247">
        <v>11.8</v>
      </c>
      <c r="AR858" s="247">
        <v>16.5</v>
      </c>
      <c r="AS858" s="247">
        <v>14.2</v>
      </c>
      <c r="AT858" s="247">
        <v>31</v>
      </c>
      <c r="AU858" s="247">
        <v>7.6</v>
      </c>
      <c r="AV858" s="247">
        <v>84</v>
      </c>
      <c r="AW858" s="247">
        <v>78</v>
      </c>
      <c r="AX858" s="247">
        <v>302</v>
      </c>
      <c r="AY858" s="247">
        <v>48</v>
      </c>
      <c r="AZ858" s="247" t="s">
        <v>959</v>
      </c>
      <c r="BA858" s="248">
        <v>5.4</v>
      </c>
      <c r="BB858" s="235">
        <v>413</v>
      </c>
      <c r="BC858" s="247" t="s">
        <v>1577</v>
      </c>
      <c r="BD858" s="247">
        <v>2.1</v>
      </c>
      <c r="BE858" s="247">
        <v>2</v>
      </c>
      <c r="BF858" s="247">
        <v>2.5</v>
      </c>
      <c r="BG858" s="247">
        <v>3.6</v>
      </c>
      <c r="BH858" s="247">
        <v>5</v>
      </c>
      <c r="BI858" s="247">
        <v>7.6</v>
      </c>
      <c r="BJ858" s="247">
        <v>10.5</v>
      </c>
      <c r="BK858" s="247">
        <v>10.7</v>
      </c>
      <c r="BL858" s="247">
        <v>8.3000000000000007</v>
      </c>
      <c r="BM858" s="247">
        <v>5.6</v>
      </c>
      <c r="BN858" s="247">
        <v>3.9</v>
      </c>
      <c r="BO858" s="247">
        <v>2.8</v>
      </c>
      <c r="BP858" s="248">
        <v>5.4</v>
      </c>
    </row>
    <row r="859" spans="1:68" ht="14.25" customHeight="1">
      <c r="A859" s="233">
        <v>202</v>
      </c>
      <c r="B859" s="234">
        <v>562</v>
      </c>
      <c r="C859" s="249" t="s">
        <v>1074</v>
      </c>
      <c r="D859" s="249" t="s">
        <v>1102</v>
      </c>
      <c r="E859" s="244" t="s">
        <v>1579</v>
      </c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6"/>
      <c r="S859" s="250">
        <v>562</v>
      </c>
      <c r="T859" s="247" t="s">
        <v>1579</v>
      </c>
      <c r="U859" s="245">
        <v>-20</v>
      </c>
      <c r="V859" s="245">
        <v>-17</v>
      </c>
      <c r="W859" s="245">
        <v>-15</v>
      </c>
      <c r="X859" s="245">
        <v>-14</v>
      </c>
      <c r="Y859" s="245">
        <v>-6</v>
      </c>
      <c r="Z859" s="245">
        <v>-28</v>
      </c>
      <c r="AA859" s="245">
        <v>10.3</v>
      </c>
      <c r="AB859" s="245">
        <v>0</v>
      </c>
      <c r="AC859" s="245" t="s">
        <v>830</v>
      </c>
      <c r="AD859" s="245">
        <v>106</v>
      </c>
      <c r="AE859" s="245">
        <v>4.0999999999999996</v>
      </c>
      <c r="AF859" s="245">
        <v>128</v>
      </c>
      <c r="AG859" s="245">
        <v>4.9000000000000004</v>
      </c>
      <c r="AH859" s="245" t="s">
        <v>956</v>
      </c>
      <c r="AI859" s="245">
        <v>62</v>
      </c>
      <c r="AJ859" s="245">
        <v>90</v>
      </c>
      <c r="AK859" s="245" t="s">
        <v>990</v>
      </c>
      <c r="AL859" s="245">
        <v>4</v>
      </c>
      <c r="AM859" s="246" t="s">
        <v>931</v>
      </c>
      <c r="AN859" s="235">
        <v>563</v>
      </c>
      <c r="AO859" s="247" t="s">
        <v>1580</v>
      </c>
      <c r="AP859" s="247">
        <v>985</v>
      </c>
      <c r="AQ859" s="247">
        <v>40</v>
      </c>
      <c r="AR859" s="247">
        <v>34</v>
      </c>
      <c r="AS859" s="247">
        <v>37.200000000000003</v>
      </c>
      <c r="AT859" s="247">
        <v>46</v>
      </c>
      <c r="AU859" s="247">
        <v>17.7</v>
      </c>
      <c r="AV859" s="247">
        <v>37</v>
      </c>
      <c r="AW859" s="247">
        <v>20</v>
      </c>
      <c r="AX859" s="247">
        <v>48</v>
      </c>
      <c r="AY859" s="247">
        <v>40</v>
      </c>
      <c r="AZ859" s="247" t="s">
        <v>959</v>
      </c>
      <c r="BA859" s="248">
        <v>1.8</v>
      </c>
      <c r="BB859" s="235"/>
      <c r="BC859" s="247" t="s">
        <v>1579</v>
      </c>
      <c r="BD859" s="247"/>
      <c r="BE859" s="247"/>
      <c r="BF859" s="247"/>
      <c r="BG859" s="247"/>
      <c r="BH859" s="247"/>
      <c r="BI859" s="247"/>
      <c r="BJ859" s="247"/>
      <c r="BK859" s="247"/>
      <c r="BL859" s="247"/>
      <c r="BM859" s="247"/>
      <c r="BN859" s="247"/>
      <c r="BO859" s="247"/>
      <c r="BP859" s="248"/>
    </row>
    <row r="860" spans="1:68" ht="14.25" customHeight="1">
      <c r="A860" s="233">
        <v>203</v>
      </c>
      <c r="B860" s="234">
        <v>93</v>
      </c>
      <c r="C860" s="244" t="s">
        <v>928</v>
      </c>
      <c r="D860" s="244" t="s">
        <v>1001</v>
      </c>
      <c r="E860" s="244" t="s">
        <v>163</v>
      </c>
      <c r="F860" s="245">
        <v>-20.6</v>
      </c>
      <c r="G860" s="245">
        <v>-18.100000000000001</v>
      </c>
      <c r="H860" s="245">
        <v>-9.4</v>
      </c>
      <c r="I860" s="245">
        <v>1</v>
      </c>
      <c r="J860" s="245">
        <v>8.5</v>
      </c>
      <c r="K860" s="245">
        <v>14.8</v>
      </c>
      <c r="L860" s="245">
        <v>17.600000000000001</v>
      </c>
      <c r="M860" s="245">
        <v>15</v>
      </c>
      <c r="N860" s="245">
        <v>8.1999999999999993</v>
      </c>
      <c r="O860" s="245">
        <v>0.5</v>
      </c>
      <c r="P860" s="245">
        <v>-10.4</v>
      </c>
      <c r="Q860" s="245">
        <v>-18.399999999999999</v>
      </c>
      <c r="R860" s="246">
        <v>-0.9</v>
      </c>
      <c r="S860" s="233">
        <v>93</v>
      </c>
      <c r="T860" s="247" t="s">
        <v>1581</v>
      </c>
      <c r="U860" s="245">
        <v>-40</v>
      </c>
      <c r="V860" s="245">
        <v>-38</v>
      </c>
      <c r="W860" s="245">
        <v>-38</v>
      </c>
      <c r="X860" s="245">
        <v>-36</v>
      </c>
      <c r="Y860" s="245">
        <v>-26</v>
      </c>
      <c r="Z860" s="245">
        <v>-50</v>
      </c>
      <c r="AA860" s="245">
        <v>10.5</v>
      </c>
      <c r="AB860" s="245">
        <v>177</v>
      </c>
      <c r="AC860" s="245">
        <v>-13</v>
      </c>
      <c r="AD860" s="245">
        <v>240</v>
      </c>
      <c r="AE860" s="245">
        <v>-8.5</v>
      </c>
      <c r="AF860" s="245">
        <v>258</v>
      </c>
      <c r="AG860" s="245">
        <v>-7.3</v>
      </c>
      <c r="AH860" s="245">
        <v>80</v>
      </c>
      <c r="AI860" s="245">
        <v>78</v>
      </c>
      <c r="AJ860" s="245">
        <v>87</v>
      </c>
      <c r="AK860" s="245" t="s">
        <v>990</v>
      </c>
      <c r="AL860" s="245">
        <v>2.9</v>
      </c>
      <c r="AM860" s="246">
        <v>2.2999999999999998</v>
      </c>
      <c r="AN860" s="235">
        <v>93</v>
      </c>
      <c r="AO860" s="247" t="s">
        <v>1582</v>
      </c>
      <c r="AP860" s="247">
        <v>955</v>
      </c>
      <c r="AQ860" s="247">
        <v>21.8</v>
      </c>
      <c r="AR860" s="247">
        <v>25.6</v>
      </c>
      <c r="AS860" s="247">
        <v>24.7</v>
      </c>
      <c r="AT860" s="247">
        <v>36</v>
      </c>
      <c r="AU860" s="247">
        <v>13.4</v>
      </c>
      <c r="AV860" s="247">
        <v>74</v>
      </c>
      <c r="AW860" s="247">
        <v>58</v>
      </c>
      <c r="AX860" s="247">
        <v>402</v>
      </c>
      <c r="AY860" s="247">
        <v>82</v>
      </c>
      <c r="AZ860" s="247" t="s">
        <v>946</v>
      </c>
      <c r="BA860" s="248">
        <v>2.2000000000000002</v>
      </c>
      <c r="BB860" s="235">
        <v>77</v>
      </c>
      <c r="BC860" s="247" t="s">
        <v>163</v>
      </c>
      <c r="BD860" s="247">
        <v>1.2</v>
      </c>
      <c r="BE860" s="247">
        <v>1.3</v>
      </c>
      <c r="BF860" s="247">
        <v>2.2999999999999998</v>
      </c>
      <c r="BG860" s="247">
        <v>4</v>
      </c>
      <c r="BH860" s="247">
        <v>6.1</v>
      </c>
      <c r="BI860" s="247">
        <v>11.1</v>
      </c>
      <c r="BJ860" s="247">
        <v>14.9</v>
      </c>
      <c r="BK860" s="247">
        <v>13.4</v>
      </c>
      <c r="BL860" s="247">
        <v>8.5</v>
      </c>
      <c r="BM860" s="247">
        <v>4.9000000000000004</v>
      </c>
      <c r="BN860" s="247">
        <v>2.6</v>
      </c>
      <c r="BO860" s="247">
        <v>1.6</v>
      </c>
      <c r="BP860" s="248">
        <v>6</v>
      </c>
    </row>
    <row r="861" spans="1:68" ht="14.25" customHeight="1">
      <c r="A861" s="233">
        <v>204</v>
      </c>
      <c r="B861" s="234">
        <v>241</v>
      </c>
      <c r="C861" s="244" t="s">
        <v>928</v>
      </c>
      <c r="D861" s="244" t="s">
        <v>1583</v>
      </c>
      <c r="E861" s="244" t="s">
        <v>1584</v>
      </c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6"/>
      <c r="S861" s="250">
        <v>241</v>
      </c>
      <c r="T861" s="247" t="s">
        <v>1585</v>
      </c>
      <c r="U861" s="245">
        <v>-43</v>
      </c>
      <c r="V861" s="245">
        <v>-40</v>
      </c>
      <c r="W861" s="245">
        <v>-39</v>
      </c>
      <c r="X861" s="245">
        <v>-36</v>
      </c>
      <c r="Y861" s="245">
        <v>-24</v>
      </c>
      <c r="Z861" s="245">
        <v>-46</v>
      </c>
      <c r="AA861" s="245">
        <v>9.4</v>
      </c>
      <c r="AB861" s="245">
        <v>174</v>
      </c>
      <c r="AC861" s="245">
        <v>-12.3</v>
      </c>
      <c r="AD861" s="245">
        <v>225</v>
      </c>
      <c r="AE861" s="245">
        <v>-8.6</v>
      </c>
      <c r="AF861" s="245">
        <v>238</v>
      </c>
      <c r="AG861" s="245">
        <v>-7.7</v>
      </c>
      <c r="AH861" s="245">
        <v>82</v>
      </c>
      <c r="AI861" s="245">
        <v>80</v>
      </c>
      <c r="AJ861" s="245">
        <v>78</v>
      </c>
      <c r="AK861" s="245" t="s">
        <v>971</v>
      </c>
      <c r="AL861" s="245">
        <v>5.2</v>
      </c>
      <c r="AM861" s="246" t="s">
        <v>931</v>
      </c>
      <c r="AN861" s="235">
        <v>241</v>
      </c>
      <c r="AO861" s="247" t="s">
        <v>1586</v>
      </c>
      <c r="AP861" s="247">
        <v>995</v>
      </c>
      <c r="AQ861" s="247">
        <v>22</v>
      </c>
      <c r="AR861" s="247">
        <v>26.2</v>
      </c>
      <c r="AS861" s="247">
        <v>24.4</v>
      </c>
      <c r="AT861" s="247">
        <v>40</v>
      </c>
      <c r="AU861" s="247">
        <v>12</v>
      </c>
      <c r="AV861" s="247">
        <v>68</v>
      </c>
      <c r="AW861" s="247">
        <v>53</v>
      </c>
      <c r="AX861" s="247">
        <v>296</v>
      </c>
      <c r="AY861" s="247" t="s">
        <v>965</v>
      </c>
      <c r="AZ861" s="247" t="s">
        <v>959</v>
      </c>
      <c r="BA861" s="248">
        <v>3.7</v>
      </c>
      <c r="BB861" s="235"/>
      <c r="BC861" s="247" t="s">
        <v>1584</v>
      </c>
      <c r="BD861" s="247"/>
      <c r="BE861" s="247"/>
      <c r="BF861" s="247"/>
      <c r="BG861" s="247"/>
      <c r="BH861" s="247"/>
      <c r="BI861" s="247"/>
      <c r="BJ861" s="247"/>
      <c r="BK861" s="247"/>
      <c r="BL861" s="247"/>
      <c r="BM861" s="247"/>
      <c r="BN861" s="247"/>
      <c r="BO861" s="247"/>
      <c r="BP861" s="248"/>
    </row>
    <row r="862" spans="1:68" ht="14.25" customHeight="1">
      <c r="A862" s="233">
        <v>205</v>
      </c>
      <c r="B862" s="234">
        <v>417</v>
      </c>
      <c r="C862" s="244" t="s">
        <v>928</v>
      </c>
      <c r="D862" s="244" t="s">
        <v>969</v>
      </c>
      <c r="E862" s="244" t="s">
        <v>1587</v>
      </c>
      <c r="F862" s="245">
        <v>-35.799999999999997</v>
      </c>
      <c r="G862" s="245">
        <v>-31.9</v>
      </c>
      <c r="H862" s="245">
        <v>-20.6</v>
      </c>
      <c r="I862" s="245">
        <v>-5.9</v>
      </c>
      <c r="J862" s="245">
        <v>5.8</v>
      </c>
      <c r="K862" s="245">
        <v>14.3</v>
      </c>
      <c r="L862" s="245">
        <v>17.899999999999999</v>
      </c>
      <c r="M862" s="245">
        <v>14.6</v>
      </c>
      <c r="N862" s="245">
        <v>6.5</v>
      </c>
      <c r="O862" s="245">
        <v>-5.3</v>
      </c>
      <c r="P862" s="245">
        <v>-23.8</v>
      </c>
      <c r="Q862" s="245">
        <v>-33.5</v>
      </c>
      <c r="R862" s="246">
        <v>-8.1</v>
      </c>
      <c r="S862" s="233">
        <v>417</v>
      </c>
      <c r="T862" s="247" t="s">
        <v>1587</v>
      </c>
      <c r="U862" s="245">
        <v>-53</v>
      </c>
      <c r="V862" s="245">
        <v>-52</v>
      </c>
      <c r="W862" s="245">
        <v>-51</v>
      </c>
      <c r="X862" s="245">
        <v>-50</v>
      </c>
      <c r="Y862" s="245">
        <v>-41</v>
      </c>
      <c r="Z862" s="245">
        <v>-54</v>
      </c>
      <c r="AA862" s="245">
        <v>7.6</v>
      </c>
      <c r="AB862" s="245">
        <v>211</v>
      </c>
      <c r="AC862" s="245">
        <v>-22.1</v>
      </c>
      <c r="AD862" s="245">
        <v>256</v>
      </c>
      <c r="AE862" s="245">
        <v>-17.399999999999999</v>
      </c>
      <c r="AF862" s="245">
        <v>271</v>
      </c>
      <c r="AG862" s="245">
        <v>-16</v>
      </c>
      <c r="AH862" s="245">
        <v>75</v>
      </c>
      <c r="AI862" s="245">
        <v>75</v>
      </c>
      <c r="AJ862" s="245">
        <v>59</v>
      </c>
      <c r="AK862" s="245" t="s">
        <v>950</v>
      </c>
      <c r="AL862" s="245">
        <v>5.4</v>
      </c>
      <c r="AM862" s="246">
        <v>2.4</v>
      </c>
      <c r="AN862" s="235">
        <v>417</v>
      </c>
      <c r="AO862" s="247" t="s">
        <v>1588</v>
      </c>
      <c r="AP862" s="247">
        <v>995</v>
      </c>
      <c r="AQ862" s="247">
        <v>21.2</v>
      </c>
      <c r="AR862" s="247">
        <v>25.2</v>
      </c>
      <c r="AS862" s="247">
        <v>24.7</v>
      </c>
      <c r="AT862" s="247">
        <v>37</v>
      </c>
      <c r="AU862" s="247">
        <v>13.3</v>
      </c>
      <c r="AV862" s="247">
        <v>69</v>
      </c>
      <c r="AW862" s="247">
        <v>67</v>
      </c>
      <c r="AX862" s="247">
        <v>238</v>
      </c>
      <c r="AY862" s="247">
        <v>63</v>
      </c>
      <c r="AZ862" s="247" t="s">
        <v>952</v>
      </c>
      <c r="BA862" s="248">
        <v>0</v>
      </c>
      <c r="BB862" s="235">
        <v>381</v>
      </c>
      <c r="BC862" s="247" t="s">
        <v>1587</v>
      </c>
      <c r="BD862" s="247">
        <v>0.3</v>
      </c>
      <c r="BE862" s="247">
        <v>0.4</v>
      </c>
      <c r="BF862" s="247">
        <v>1</v>
      </c>
      <c r="BG862" s="247">
        <v>2.7</v>
      </c>
      <c r="BH862" s="247">
        <v>5.4</v>
      </c>
      <c r="BI862" s="247">
        <v>10.3</v>
      </c>
      <c r="BJ862" s="247">
        <v>14</v>
      </c>
      <c r="BK862" s="247">
        <v>12.4</v>
      </c>
      <c r="BL862" s="247">
        <v>7.3</v>
      </c>
      <c r="BM862" s="247">
        <v>3.4</v>
      </c>
      <c r="BN862" s="247">
        <v>1</v>
      </c>
      <c r="BO862" s="247">
        <v>0.4</v>
      </c>
      <c r="BP862" s="248">
        <v>4.9000000000000004</v>
      </c>
    </row>
    <row r="863" spans="1:68" ht="14.25" customHeight="1">
      <c r="A863" s="233">
        <v>206</v>
      </c>
      <c r="B863" s="234">
        <v>575</v>
      </c>
      <c r="C863" s="244" t="s">
        <v>1353</v>
      </c>
      <c r="D863" s="244" t="s">
        <v>1589</v>
      </c>
      <c r="E863" s="244" t="s">
        <v>1590</v>
      </c>
      <c r="F863" s="245">
        <v>-1.5</v>
      </c>
      <c r="G863" s="245">
        <v>1.2</v>
      </c>
      <c r="H863" s="245">
        <v>7.1</v>
      </c>
      <c r="I863" s="245">
        <v>14.6</v>
      </c>
      <c r="J863" s="245">
        <v>20</v>
      </c>
      <c r="K863" s="245">
        <v>24.4</v>
      </c>
      <c r="L863" s="245">
        <v>26.6</v>
      </c>
      <c r="M863" s="245">
        <v>24.9</v>
      </c>
      <c r="N863" s="245">
        <v>19.600000000000001</v>
      </c>
      <c r="O863" s="245">
        <v>12.5</v>
      </c>
      <c r="P863" s="245">
        <v>5.4</v>
      </c>
      <c r="Q863" s="245">
        <v>0.6</v>
      </c>
      <c r="R863" s="246">
        <v>13</v>
      </c>
      <c r="S863" s="251"/>
      <c r="T863" s="247" t="s">
        <v>1591</v>
      </c>
      <c r="U863" s="245"/>
      <c r="V863" s="245"/>
      <c r="W863" s="245"/>
      <c r="X863" s="245"/>
      <c r="Y863" s="245"/>
      <c r="Z863" s="245"/>
      <c r="AA863" s="245"/>
      <c r="AB863" s="245"/>
      <c r="AC863" s="245"/>
      <c r="AD863" s="245"/>
      <c r="AE863" s="245"/>
      <c r="AF863" s="245"/>
      <c r="AG863" s="245"/>
      <c r="AH863" s="245"/>
      <c r="AI863" s="245"/>
      <c r="AJ863" s="245"/>
      <c r="AK863" s="245"/>
      <c r="AL863" s="245"/>
      <c r="AM863" s="246"/>
      <c r="AN863" s="235"/>
      <c r="AO863" s="247" t="s">
        <v>1591</v>
      </c>
      <c r="AP863" s="247"/>
      <c r="AQ863" s="247"/>
      <c r="AR863" s="247"/>
      <c r="AS863" s="247"/>
      <c r="AT863" s="247"/>
      <c r="AU863" s="247"/>
      <c r="AV863" s="247"/>
      <c r="AW863" s="247"/>
      <c r="AX863" s="247"/>
      <c r="AY863" s="247"/>
      <c r="AZ863" s="247"/>
      <c r="BA863" s="248"/>
      <c r="BB863" s="235"/>
      <c r="BC863" s="247" t="s">
        <v>1590</v>
      </c>
      <c r="BD863" s="247"/>
      <c r="BE863" s="247"/>
      <c r="BF863" s="247"/>
      <c r="BG863" s="247"/>
      <c r="BH863" s="247"/>
      <c r="BI863" s="247"/>
      <c r="BJ863" s="247"/>
      <c r="BK863" s="247"/>
      <c r="BL863" s="247"/>
      <c r="BM863" s="247"/>
      <c r="BN863" s="247"/>
      <c r="BO863" s="247"/>
      <c r="BP863" s="248"/>
    </row>
    <row r="864" spans="1:68" ht="14.25" customHeight="1">
      <c r="A864" s="233">
        <v>207</v>
      </c>
      <c r="B864" s="234">
        <v>113</v>
      </c>
      <c r="C864" s="244" t="s">
        <v>928</v>
      </c>
      <c r="D864" s="244" t="s">
        <v>1023</v>
      </c>
      <c r="E864" s="244" t="s">
        <v>1592</v>
      </c>
      <c r="F864" s="245">
        <v>-12</v>
      </c>
      <c r="G864" s="245">
        <v>-12.6</v>
      </c>
      <c r="H864" s="245">
        <v>-9.3000000000000007</v>
      </c>
      <c r="I864" s="245">
        <v>-3.2</v>
      </c>
      <c r="J864" s="245">
        <v>2.1</v>
      </c>
      <c r="K864" s="245">
        <v>6.3</v>
      </c>
      <c r="L864" s="245">
        <v>10.3</v>
      </c>
      <c r="M864" s="245">
        <v>11.4</v>
      </c>
      <c r="N864" s="245">
        <v>8.6999999999999993</v>
      </c>
      <c r="O864" s="245">
        <v>3.1</v>
      </c>
      <c r="P864" s="245">
        <v>-4</v>
      </c>
      <c r="Q864" s="245">
        <v>-9</v>
      </c>
      <c r="R864" s="246">
        <v>-0.7</v>
      </c>
      <c r="S864" s="233">
        <v>113</v>
      </c>
      <c r="T864" s="247" t="s">
        <v>1593</v>
      </c>
      <c r="U864" s="245">
        <v>-30</v>
      </c>
      <c r="V864" s="245">
        <v>-28</v>
      </c>
      <c r="W864" s="245">
        <v>-27</v>
      </c>
      <c r="X864" s="245">
        <v>-25</v>
      </c>
      <c r="Y864" s="245">
        <v>-18</v>
      </c>
      <c r="Z864" s="245">
        <v>-36</v>
      </c>
      <c r="AA864" s="245">
        <v>7.5</v>
      </c>
      <c r="AB864" s="245">
        <v>187</v>
      </c>
      <c r="AC864" s="245">
        <v>-7.8</v>
      </c>
      <c r="AD864" s="245">
        <v>282</v>
      </c>
      <c r="AE864" s="245">
        <v>-3.8</v>
      </c>
      <c r="AF864" s="245">
        <v>316</v>
      </c>
      <c r="AG864" s="245">
        <v>-2.4</v>
      </c>
      <c r="AH864" s="245">
        <v>78</v>
      </c>
      <c r="AI864" s="245">
        <v>75</v>
      </c>
      <c r="AJ864" s="245">
        <v>349</v>
      </c>
      <c r="AK864" s="245" t="s">
        <v>938</v>
      </c>
      <c r="AL864" s="245" t="s">
        <v>931</v>
      </c>
      <c r="AM864" s="246" t="s">
        <v>931</v>
      </c>
      <c r="AN864" s="235">
        <v>113</v>
      </c>
      <c r="AO864" s="247" t="s">
        <v>1594</v>
      </c>
      <c r="AP864" s="247">
        <v>1010</v>
      </c>
      <c r="AQ864" s="247">
        <v>12.5</v>
      </c>
      <c r="AR864" s="247">
        <v>14.2</v>
      </c>
      <c r="AS864" s="247">
        <v>14.1</v>
      </c>
      <c r="AT864" s="247">
        <v>29</v>
      </c>
      <c r="AU864" s="247">
        <v>5</v>
      </c>
      <c r="AV864" s="247">
        <v>91</v>
      </c>
      <c r="AW864" s="247">
        <v>86</v>
      </c>
      <c r="AX864" s="247">
        <v>578</v>
      </c>
      <c r="AY864" s="247">
        <v>105</v>
      </c>
      <c r="AZ864" s="247" t="s">
        <v>973</v>
      </c>
      <c r="BA864" s="248" t="s">
        <v>934</v>
      </c>
      <c r="BB864" s="235">
        <v>97</v>
      </c>
      <c r="BC864" s="247" t="s">
        <v>1592</v>
      </c>
      <c r="BD864" s="247">
        <v>2.2000000000000002</v>
      </c>
      <c r="BE864" s="247">
        <v>1.9</v>
      </c>
      <c r="BF864" s="247">
        <v>2.5</v>
      </c>
      <c r="BG864" s="247">
        <v>4.0999999999999996</v>
      </c>
      <c r="BH864" s="247">
        <v>6.1</v>
      </c>
      <c r="BI864" s="247">
        <v>8.6</v>
      </c>
      <c r="BJ864" s="247">
        <v>11.6</v>
      </c>
      <c r="BK864" s="247">
        <v>12.4</v>
      </c>
      <c r="BL864" s="247">
        <v>9.9</v>
      </c>
      <c r="BM864" s="247">
        <v>6.4</v>
      </c>
      <c r="BN864" s="247">
        <v>4</v>
      </c>
      <c r="BO864" s="247">
        <v>2.6</v>
      </c>
      <c r="BP864" s="248">
        <v>6</v>
      </c>
    </row>
    <row r="865" spans="1:68" ht="14.25" customHeight="1">
      <c r="A865" s="233">
        <v>208</v>
      </c>
      <c r="B865" s="234">
        <v>94</v>
      </c>
      <c r="C865" s="244" t="s">
        <v>928</v>
      </c>
      <c r="D865" s="244" t="s">
        <v>1001</v>
      </c>
      <c r="E865" s="244" t="s">
        <v>1595</v>
      </c>
      <c r="F865" s="245">
        <v>-28.2</v>
      </c>
      <c r="G865" s="245">
        <v>-25.4</v>
      </c>
      <c r="H865" s="245">
        <v>-14.6</v>
      </c>
      <c r="I865" s="245">
        <v>-2.7</v>
      </c>
      <c r="J865" s="245">
        <v>6.4</v>
      </c>
      <c r="K865" s="245">
        <v>14.6</v>
      </c>
      <c r="L865" s="245">
        <v>17.600000000000001</v>
      </c>
      <c r="M865" s="245">
        <v>14</v>
      </c>
      <c r="N865" s="245">
        <v>6.6</v>
      </c>
      <c r="O865" s="245">
        <v>-3</v>
      </c>
      <c r="P865" s="245">
        <v>-17.600000000000001</v>
      </c>
      <c r="Q865" s="245">
        <v>-26.7</v>
      </c>
      <c r="R865" s="246">
        <v>-4.9000000000000004</v>
      </c>
      <c r="S865" s="233">
        <v>94</v>
      </c>
      <c r="T865" s="247" t="s">
        <v>1596</v>
      </c>
      <c r="U865" s="245">
        <v>-56</v>
      </c>
      <c r="V865" s="245">
        <v>-54</v>
      </c>
      <c r="W865" s="245">
        <v>-53</v>
      </c>
      <c r="X865" s="245">
        <v>-50</v>
      </c>
      <c r="Y865" s="245">
        <v>-33</v>
      </c>
      <c r="Z865" s="245">
        <v>-60</v>
      </c>
      <c r="AA865" s="245">
        <v>11.9</v>
      </c>
      <c r="AB865" s="245">
        <v>200</v>
      </c>
      <c r="AC865" s="245">
        <v>-17.5</v>
      </c>
      <c r="AD865" s="245">
        <v>254</v>
      </c>
      <c r="AE865" s="245">
        <v>-12.9</v>
      </c>
      <c r="AF865" s="245">
        <v>270</v>
      </c>
      <c r="AG865" s="245">
        <v>-11.6</v>
      </c>
      <c r="AH865" s="245">
        <v>78</v>
      </c>
      <c r="AI865" s="245">
        <v>76</v>
      </c>
      <c r="AJ865" s="245">
        <v>131</v>
      </c>
      <c r="AK865" s="245" t="s">
        <v>963</v>
      </c>
      <c r="AL865" s="245" t="s">
        <v>931</v>
      </c>
      <c r="AM865" s="246">
        <v>1.6</v>
      </c>
      <c r="AN865" s="235">
        <v>94</v>
      </c>
      <c r="AO865" s="247" t="s">
        <v>1597</v>
      </c>
      <c r="AP865" s="247">
        <v>980</v>
      </c>
      <c r="AQ865" s="247">
        <v>22.7</v>
      </c>
      <c r="AR865" s="247">
        <v>26.8</v>
      </c>
      <c r="AS865" s="247">
        <v>25.1</v>
      </c>
      <c r="AT865" s="247">
        <v>36</v>
      </c>
      <c r="AU865" s="247">
        <v>14.2</v>
      </c>
      <c r="AV865" s="247">
        <v>74</v>
      </c>
      <c r="AW865" s="247">
        <v>52</v>
      </c>
      <c r="AX865" s="247">
        <v>351</v>
      </c>
      <c r="AY865" s="247" t="s">
        <v>965</v>
      </c>
      <c r="AZ865" s="247" t="s">
        <v>1005</v>
      </c>
      <c r="BA865" s="248" t="s">
        <v>934</v>
      </c>
      <c r="BB865" s="235">
        <v>78</v>
      </c>
      <c r="BC865" s="247" t="s">
        <v>1595</v>
      </c>
      <c r="BD865" s="247">
        <v>0.8</v>
      </c>
      <c r="BE865" s="247">
        <v>0.9</v>
      </c>
      <c r="BF865" s="247">
        <v>1.6</v>
      </c>
      <c r="BG865" s="247">
        <v>3.2</v>
      </c>
      <c r="BH865" s="247">
        <v>5.7</v>
      </c>
      <c r="BI865" s="247">
        <v>10.7</v>
      </c>
      <c r="BJ865" s="247">
        <v>14.8</v>
      </c>
      <c r="BK865" s="247">
        <v>12.9</v>
      </c>
      <c r="BL865" s="247">
        <v>8</v>
      </c>
      <c r="BM865" s="247">
        <v>4.2</v>
      </c>
      <c r="BN865" s="247">
        <v>1.7</v>
      </c>
      <c r="BO865" s="247">
        <v>0.9</v>
      </c>
      <c r="BP865" s="248">
        <v>5.5</v>
      </c>
    </row>
    <row r="866" spans="1:68" ht="14.25" customHeight="1">
      <c r="A866" s="233">
        <v>209</v>
      </c>
      <c r="B866" s="234">
        <v>418</v>
      </c>
      <c r="C866" s="244" t="s">
        <v>928</v>
      </c>
      <c r="D866" s="244" t="s">
        <v>969</v>
      </c>
      <c r="E866" s="244" t="s">
        <v>1598</v>
      </c>
      <c r="F866" s="245">
        <v>-45.5</v>
      </c>
      <c r="G866" s="245">
        <v>-42.3</v>
      </c>
      <c r="H866" s="245">
        <v>-31.8</v>
      </c>
      <c r="I866" s="245">
        <v>-16.600000000000001</v>
      </c>
      <c r="J866" s="245">
        <v>-1</v>
      </c>
      <c r="K866" s="245">
        <v>8.9</v>
      </c>
      <c r="L866" s="245">
        <v>12.7</v>
      </c>
      <c r="M866" s="245">
        <v>10.3</v>
      </c>
      <c r="N866" s="245">
        <v>2</v>
      </c>
      <c r="O866" s="245">
        <v>-14.8</v>
      </c>
      <c r="P866" s="245">
        <v>-35.4</v>
      </c>
      <c r="Q866" s="245">
        <v>-42.7</v>
      </c>
      <c r="R866" s="246">
        <v>-16.399999999999999</v>
      </c>
      <c r="S866" s="233">
        <v>418</v>
      </c>
      <c r="T866" s="247" t="s">
        <v>1598</v>
      </c>
      <c r="U866" s="245">
        <v>-61</v>
      </c>
      <c r="V866" s="245">
        <v>-60</v>
      </c>
      <c r="W866" s="245">
        <v>-59</v>
      </c>
      <c r="X866" s="245">
        <v>-57</v>
      </c>
      <c r="Y866" s="245">
        <v>-51</v>
      </c>
      <c r="Z866" s="245">
        <v>-63</v>
      </c>
      <c r="AA866" s="245">
        <v>7.4</v>
      </c>
      <c r="AB866" s="245">
        <v>242</v>
      </c>
      <c r="AC866" s="245">
        <v>-28.6</v>
      </c>
      <c r="AD866" s="245">
        <v>292</v>
      </c>
      <c r="AE866" s="245">
        <v>-22.9</v>
      </c>
      <c r="AF866" s="245">
        <v>311</v>
      </c>
      <c r="AG866" s="245">
        <v>-21</v>
      </c>
      <c r="AH866" s="245">
        <v>73</v>
      </c>
      <c r="AI866" s="245">
        <v>73</v>
      </c>
      <c r="AJ866" s="245">
        <v>38</v>
      </c>
      <c r="AK866" s="245" t="s">
        <v>944</v>
      </c>
      <c r="AL866" s="245" t="s">
        <v>931</v>
      </c>
      <c r="AM866" s="246">
        <v>1.2</v>
      </c>
      <c r="AN866" s="235">
        <v>418</v>
      </c>
      <c r="AO866" s="247" t="s">
        <v>1599</v>
      </c>
      <c r="AP866" s="247">
        <v>925</v>
      </c>
      <c r="AQ866" s="247">
        <v>17.2</v>
      </c>
      <c r="AR866" s="247">
        <v>21.6</v>
      </c>
      <c r="AS866" s="247">
        <v>19.600000000000001</v>
      </c>
      <c r="AT866" s="247">
        <v>32</v>
      </c>
      <c r="AU866" s="247">
        <v>13.9</v>
      </c>
      <c r="AV866" s="247">
        <v>69</v>
      </c>
      <c r="AW866" s="247">
        <v>56</v>
      </c>
      <c r="AX866" s="247">
        <v>236</v>
      </c>
      <c r="AY866" s="247">
        <v>69</v>
      </c>
      <c r="AZ866" s="247" t="s">
        <v>959</v>
      </c>
      <c r="BA866" s="248" t="s">
        <v>934</v>
      </c>
      <c r="BB866" s="235">
        <v>382</v>
      </c>
      <c r="BC866" s="247" t="s">
        <v>1598</v>
      </c>
      <c r="BD866" s="247">
        <v>0.1</v>
      </c>
      <c r="BE866" s="247">
        <v>0.2</v>
      </c>
      <c r="BF866" s="247">
        <v>0.5</v>
      </c>
      <c r="BG866" s="247">
        <v>1.5</v>
      </c>
      <c r="BH866" s="247">
        <v>4.2</v>
      </c>
      <c r="BI866" s="247">
        <v>7.5</v>
      </c>
      <c r="BJ866" s="247">
        <v>9.9</v>
      </c>
      <c r="BK866" s="247">
        <v>8.9</v>
      </c>
      <c r="BL866" s="247">
        <v>5.4</v>
      </c>
      <c r="BM866" s="247">
        <v>2</v>
      </c>
      <c r="BN866" s="247">
        <v>0.3</v>
      </c>
      <c r="BO866" s="247">
        <v>0.2</v>
      </c>
      <c r="BP866" s="248">
        <v>3.4</v>
      </c>
    </row>
    <row r="867" spans="1:68" ht="14.25" customHeight="1">
      <c r="A867" s="233">
        <v>210</v>
      </c>
      <c r="B867" s="234">
        <v>208</v>
      </c>
      <c r="C867" s="244" t="s">
        <v>928</v>
      </c>
      <c r="D867" s="244" t="s">
        <v>1600</v>
      </c>
      <c r="E867" s="244" t="s">
        <v>165</v>
      </c>
      <c r="F867" s="245">
        <v>-14</v>
      </c>
      <c r="G867" s="245">
        <v>-12.9</v>
      </c>
      <c r="H867" s="245">
        <v>-6.4</v>
      </c>
      <c r="I867" s="245">
        <v>3.6</v>
      </c>
      <c r="J867" s="245">
        <v>11.6</v>
      </c>
      <c r="K867" s="245">
        <v>16.2</v>
      </c>
      <c r="L867" s="245">
        <v>18</v>
      </c>
      <c r="M867" s="245">
        <v>16.2</v>
      </c>
      <c r="N867" s="245">
        <v>10.199999999999999</v>
      </c>
      <c r="O867" s="245">
        <v>2.7</v>
      </c>
      <c r="P867" s="245">
        <v>-4.3</v>
      </c>
      <c r="Q867" s="245">
        <v>-9.8000000000000007</v>
      </c>
      <c r="R867" s="246">
        <v>2.6</v>
      </c>
      <c r="S867" s="233">
        <v>208</v>
      </c>
      <c r="T867" s="247" t="s">
        <v>1601</v>
      </c>
      <c r="U867" s="245">
        <v>-42</v>
      </c>
      <c r="V867" s="245">
        <v>-39</v>
      </c>
      <c r="W867" s="245">
        <v>-38</v>
      </c>
      <c r="X867" s="245">
        <v>-34</v>
      </c>
      <c r="Y867" s="245">
        <v>-19</v>
      </c>
      <c r="Z867" s="245">
        <v>-47</v>
      </c>
      <c r="AA867" s="245">
        <v>8</v>
      </c>
      <c r="AB867" s="245">
        <v>159</v>
      </c>
      <c r="AC867" s="245">
        <v>-8.6</v>
      </c>
      <c r="AD867" s="245">
        <v>220</v>
      </c>
      <c r="AE867" s="245">
        <v>-5.0999999999999996</v>
      </c>
      <c r="AF867" s="245">
        <v>236</v>
      </c>
      <c r="AG867" s="245">
        <v>-4.0999999999999996</v>
      </c>
      <c r="AH867" s="245">
        <v>83</v>
      </c>
      <c r="AI867" s="245">
        <v>82</v>
      </c>
      <c r="AJ867" s="245">
        <v>151</v>
      </c>
      <c r="AK867" s="245" t="s">
        <v>963</v>
      </c>
      <c r="AL867" s="245">
        <v>6.2</v>
      </c>
      <c r="AM867" s="246">
        <v>4.7</v>
      </c>
      <c r="AN867" s="235">
        <v>208</v>
      </c>
      <c r="AO867" s="247" t="s">
        <v>1602</v>
      </c>
      <c r="AP867" s="247">
        <v>1000</v>
      </c>
      <c r="AQ867" s="247">
        <v>21.8</v>
      </c>
      <c r="AR867" s="247">
        <v>25.8</v>
      </c>
      <c r="AS867" s="247">
        <v>24</v>
      </c>
      <c r="AT867" s="247">
        <v>39</v>
      </c>
      <c r="AU867" s="247">
        <v>11.6</v>
      </c>
      <c r="AV867" s="247">
        <v>73</v>
      </c>
      <c r="AW867" s="247">
        <v>55</v>
      </c>
      <c r="AX867" s="247">
        <v>387</v>
      </c>
      <c r="AY867" s="247">
        <v>57</v>
      </c>
      <c r="AZ867" s="247" t="s">
        <v>952</v>
      </c>
      <c r="BA867" s="248">
        <v>0</v>
      </c>
      <c r="BB867" s="235">
        <v>183</v>
      </c>
      <c r="BC867" s="247" t="s">
        <v>165</v>
      </c>
      <c r="BD867" s="247">
        <v>2.2000000000000002</v>
      </c>
      <c r="BE867" s="247">
        <v>2.2000000000000002</v>
      </c>
      <c r="BF867" s="247">
        <v>3.3</v>
      </c>
      <c r="BG867" s="247">
        <v>6</v>
      </c>
      <c r="BH867" s="247">
        <v>9</v>
      </c>
      <c r="BI867" s="247">
        <v>12.5</v>
      </c>
      <c r="BJ867" s="247">
        <v>15</v>
      </c>
      <c r="BK867" s="247">
        <v>13.8</v>
      </c>
      <c r="BL867" s="247">
        <v>10.1</v>
      </c>
      <c r="BM867" s="247">
        <v>6.4</v>
      </c>
      <c r="BN867" s="247">
        <v>4.2</v>
      </c>
      <c r="BO867" s="247">
        <v>3</v>
      </c>
      <c r="BP867" s="248">
        <v>7.3</v>
      </c>
    </row>
    <row r="868" spans="1:68" ht="14.25" customHeight="1">
      <c r="A868" s="233">
        <v>211</v>
      </c>
      <c r="B868" s="234">
        <v>521</v>
      </c>
      <c r="C868" s="244" t="s">
        <v>960</v>
      </c>
      <c r="D868" s="244" t="s">
        <v>1027</v>
      </c>
      <c r="E868" s="244" t="s">
        <v>1603</v>
      </c>
      <c r="F868" s="245">
        <v>-10.8</v>
      </c>
      <c r="G868" s="245">
        <v>-9.9</v>
      </c>
      <c r="H868" s="245">
        <v>-1.5</v>
      </c>
      <c r="I868" s="245">
        <v>10.5</v>
      </c>
      <c r="J868" s="245">
        <v>18.899999999999999</v>
      </c>
      <c r="K868" s="245">
        <v>24.1</v>
      </c>
      <c r="L868" s="245">
        <v>26.3</v>
      </c>
      <c r="M868" s="245">
        <v>23.9</v>
      </c>
      <c r="N868" s="245">
        <v>17.100000000000001</v>
      </c>
      <c r="O868" s="245">
        <v>8.1999999999999993</v>
      </c>
      <c r="P868" s="245">
        <v>-0.4</v>
      </c>
      <c r="Q868" s="245">
        <v>-7.2</v>
      </c>
      <c r="R868" s="246">
        <v>8.1999999999999993</v>
      </c>
      <c r="S868" s="233">
        <v>521</v>
      </c>
      <c r="T868" s="247" t="s">
        <v>1603</v>
      </c>
      <c r="U868" s="245">
        <v>-32</v>
      </c>
      <c r="V868" s="245">
        <v>-30</v>
      </c>
      <c r="W868" s="245">
        <v>-28</v>
      </c>
      <c r="X868" s="245">
        <v>-25</v>
      </c>
      <c r="Y868" s="245" t="s">
        <v>956</v>
      </c>
      <c r="Z868" s="245">
        <v>-40</v>
      </c>
      <c r="AA868" s="245">
        <v>8.6</v>
      </c>
      <c r="AB868" s="245">
        <v>128</v>
      </c>
      <c r="AC868" s="245">
        <v>-7.3</v>
      </c>
      <c r="AD868" s="245">
        <v>175</v>
      </c>
      <c r="AE868" s="245">
        <v>-4.3</v>
      </c>
      <c r="AF868" s="245">
        <v>186</v>
      </c>
      <c r="AG868" s="245">
        <v>-3.3</v>
      </c>
      <c r="AH868" s="245">
        <v>79</v>
      </c>
      <c r="AI868" s="245" t="s">
        <v>956</v>
      </c>
      <c r="AJ868" s="245">
        <v>72</v>
      </c>
      <c r="AK868" s="245" t="s">
        <v>938</v>
      </c>
      <c r="AL868" s="245">
        <v>3</v>
      </c>
      <c r="AM868" s="246">
        <v>3.4</v>
      </c>
      <c r="AN868" s="235">
        <v>521</v>
      </c>
      <c r="AO868" s="247" t="s">
        <v>1604</v>
      </c>
      <c r="AP868" s="247">
        <v>1010</v>
      </c>
      <c r="AQ868" s="247" t="s">
        <v>958</v>
      </c>
      <c r="AR868" s="247" t="s">
        <v>931</v>
      </c>
      <c r="AS868" s="247">
        <v>32.9</v>
      </c>
      <c r="AT868" s="247">
        <v>44</v>
      </c>
      <c r="AU868" s="247">
        <v>14</v>
      </c>
      <c r="AV868" s="247">
        <v>44</v>
      </c>
      <c r="AW868" s="247" t="s">
        <v>931</v>
      </c>
      <c r="AX868" s="247">
        <v>73</v>
      </c>
      <c r="AY868" s="247" t="s">
        <v>965</v>
      </c>
      <c r="AZ868" s="247" t="s">
        <v>959</v>
      </c>
      <c r="BA868" s="248">
        <v>2.5</v>
      </c>
      <c r="BB868" s="235"/>
      <c r="BC868" s="247" t="s">
        <v>1603</v>
      </c>
      <c r="BD868" s="247"/>
      <c r="BE868" s="247"/>
      <c r="BF868" s="247"/>
      <c r="BG868" s="247"/>
      <c r="BH868" s="247"/>
      <c r="BI868" s="247"/>
      <c r="BJ868" s="247"/>
      <c r="BK868" s="247"/>
      <c r="BL868" s="247"/>
      <c r="BM868" s="247"/>
      <c r="BN868" s="247"/>
      <c r="BO868" s="247"/>
      <c r="BP868" s="248"/>
    </row>
    <row r="869" spans="1:68" ht="14.25" customHeight="1">
      <c r="A869" s="233">
        <v>212</v>
      </c>
      <c r="B869" s="234">
        <v>555</v>
      </c>
      <c r="C869" s="249" t="s">
        <v>1074</v>
      </c>
      <c r="D869" s="249" t="s">
        <v>1357</v>
      </c>
      <c r="E869" s="244" t="s">
        <v>1605</v>
      </c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6"/>
      <c r="S869" s="250">
        <v>555</v>
      </c>
      <c r="T869" s="247" t="s">
        <v>1605</v>
      </c>
      <c r="U869" s="245">
        <v>-20</v>
      </c>
      <c r="V869" s="245">
        <v>-16</v>
      </c>
      <c r="W869" s="245">
        <v>-14</v>
      </c>
      <c r="X869" s="245">
        <v>-13</v>
      </c>
      <c r="Y869" s="245">
        <v>-2</v>
      </c>
      <c r="Z869" s="245">
        <v>-29</v>
      </c>
      <c r="AA869" s="245">
        <v>8.1999999999999993</v>
      </c>
      <c r="AB869" s="245">
        <v>0</v>
      </c>
      <c r="AC869" s="245" t="s">
        <v>830</v>
      </c>
      <c r="AD869" s="245">
        <v>114</v>
      </c>
      <c r="AE869" s="245">
        <v>3.2</v>
      </c>
      <c r="AF869" s="245">
        <v>131</v>
      </c>
      <c r="AG869" s="245">
        <v>4</v>
      </c>
      <c r="AH869" s="245" t="s">
        <v>956</v>
      </c>
      <c r="AI869" s="245">
        <v>68</v>
      </c>
      <c r="AJ869" s="245">
        <v>109</v>
      </c>
      <c r="AK869" s="245" t="s">
        <v>982</v>
      </c>
      <c r="AL869" s="245">
        <v>6.4</v>
      </c>
      <c r="AM869" s="246" t="s">
        <v>931</v>
      </c>
      <c r="AN869" s="235">
        <v>556</v>
      </c>
      <c r="AO869" s="247" t="s">
        <v>1606</v>
      </c>
      <c r="AP869" s="247">
        <v>1010</v>
      </c>
      <c r="AQ869" s="247">
        <v>41</v>
      </c>
      <c r="AR869" s="247">
        <v>35</v>
      </c>
      <c r="AS869" s="247">
        <v>38.5</v>
      </c>
      <c r="AT869" s="247">
        <v>48</v>
      </c>
      <c r="AU869" s="247">
        <v>13.1</v>
      </c>
      <c r="AV869" s="247">
        <v>33</v>
      </c>
      <c r="AW869" s="247">
        <v>21</v>
      </c>
      <c r="AX869" s="247">
        <v>76</v>
      </c>
      <c r="AY869" s="247">
        <v>62</v>
      </c>
      <c r="AZ869" s="247" t="s">
        <v>1038</v>
      </c>
      <c r="BA869" s="248">
        <v>1.9</v>
      </c>
      <c r="BB869" s="235"/>
      <c r="BC869" s="247" t="s">
        <v>1605</v>
      </c>
      <c r="BD869" s="247"/>
      <c r="BE869" s="247"/>
      <c r="BF869" s="247"/>
      <c r="BG869" s="247"/>
      <c r="BH869" s="247"/>
      <c r="BI869" s="247"/>
      <c r="BJ869" s="247"/>
      <c r="BK869" s="247"/>
      <c r="BL869" s="247"/>
      <c r="BM869" s="247"/>
      <c r="BN869" s="247"/>
      <c r="BO869" s="247"/>
      <c r="BP869" s="248"/>
    </row>
    <row r="870" spans="1:68" ht="14.25" customHeight="1">
      <c r="A870" s="233">
        <v>213</v>
      </c>
      <c r="B870" s="234">
        <v>313</v>
      </c>
      <c r="C870" s="244" t="s">
        <v>928</v>
      </c>
      <c r="D870" s="244" t="s">
        <v>1232</v>
      </c>
      <c r="E870" s="244" t="s">
        <v>167</v>
      </c>
      <c r="F870" s="245">
        <v>-13.5</v>
      </c>
      <c r="G870" s="245">
        <v>-13.1</v>
      </c>
      <c r="H870" s="245">
        <v>-6.5</v>
      </c>
      <c r="I870" s="245">
        <v>3.7</v>
      </c>
      <c r="J870" s="245">
        <v>12.4</v>
      </c>
      <c r="K870" s="245">
        <v>17</v>
      </c>
      <c r="L870" s="245">
        <v>19.100000000000001</v>
      </c>
      <c r="M870" s="245">
        <v>17.5</v>
      </c>
      <c r="N870" s="245">
        <v>11.2</v>
      </c>
      <c r="O870" s="245">
        <v>3.4</v>
      </c>
      <c r="P870" s="245">
        <v>-3.8</v>
      </c>
      <c r="Q870" s="245">
        <v>-10.4</v>
      </c>
      <c r="R870" s="246">
        <v>3.1</v>
      </c>
      <c r="S870" s="233">
        <v>313</v>
      </c>
      <c r="T870" s="247" t="s">
        <v>1607</v>
      </c>
      <c r="U870" s="245">
        <v>-41</v>
      </c>
      <c r="V870" s="245">
        <v>-36</v>
      </c>
      <c r="W870" s="245">
        <v>-36</v>
      </c>
      <c r="X870" s="245">
        <v>-32</v>
      </c>
      <c r="Y870" s="245">
        <v>-18</v>
      </c>
      <c r="Z870" s="245">
        <v>-47</v>
      </c>
      <c r="AA870" s="245">
        <v>6.8</v>
      </c>
      <c r="AB870" s="245">
        <v>156</v>
      </c>
      <c r="AC870" s="245">
        <v>-8.6999999999999993</v>
      </c>
      <c r="AD870" s="245">
        <v>215</v>
      </c>
      <c r="AE870" s="245">
        <v>-5.2</v>
      </c>
      <c r="AF870" s="245">
        <v>229</v>
      </c>
      <c r="AG870" s="245">
        <v>-4.3</v>
      </c>
      <c r="AH870" s="245">
        <v>83</v>
      </c>
      <c r="AI870" s="245">
        <v>79</v>
      </c>
      <c r="AJ870" s="245">
        <v>135</v>
      </c>
      <c r="AK870" s="245" t="s">
        <v>963</v>
      </c>
      <c r="AL870" s="245">
        <v>5.7</v>
      </c>
      <c r="AM870" s="246">
        <v>4.3</v>
      </c>
      <c r="AN870" s="235">
        <v>313</v>
      </c>
      <c r="AO870" s="247" t="s">
        <v>1608</v>
      </c>
      <c r="AP870" s="247">
        <v>1000</v>
      </c>
      <c r="AQ870" s="247">
        <v>23.5</v>
      </c>
      <c r="AR870" s="247">
        <v>27.2</v>
      </c>
      <c r="AS870" s="247">
        <v>24.7</v>
      </c>
      <c r="AT870" s="247">
        <v>38</v>
      </c>
      <c r="AU870" s="247">
        <v>10.8</v>
      </c>
      <c r="AV870" s="247">
        <v>69</v>
      </c>
      <c r="AW870" s="247">
        <v>56</v>
      </c>
      <c r="AX870" s="247">
        <v>373</v>
      </c>
      <c r="AY870" s="247">
        <v>75</v>
      </c>
      <c r="AZ870" s="247" t="s">
        <v>959</v>
      </c>
      <c r="BA870" s="248">
        <v>3.8</v>
      </c>
      <c r="BB870" s="235">
        <v>281</v>
      </c>
      <c r="BC870" s="247" t="s">
        <v>167</v>
      </c>
      <c r="BD870" s="247">
        <v>2.1</v>
      </c>
      <c r="BE870" s="247">
        <v>2.2000000000000002</v>
      </c>
      <c r="BF870" s="247">
        <v>3.4</v>
      </c>
      <c r="BG870" s="247">
        <v>6.1</v>
      </c>
      <c r="BH870" s="247">
        <v>8.8000000000000007</v>
      </c>
      <c r="BI870" s="247">
        <v>12.3</v>
      </c>
      <c r="BJ870" s="247">
        <v>15</v>
      </c>
      <c r="BK870" s="247">
        <v>13.7</v>
      </c>
      <c r="BL870" s="247">
        <v>9.9</v>
      </c>
      <c r="BM870" s="247">
        <v>6.4</v>
      </c>
      <c r="BN870" s="247">
        <v>4.4000000000000004</v>
      </c>
      <c r="BO870" s="247">
        <v>2.8</v>
      </c>
      <c r="BP870" s="248">
        <v>7.3</v>
      </c>
    </row>
    <row r="871" spans="1:68" ht="14.25" customHeight="1">
      <c r="A871" s="233">
        <v>214</v>
      </c>
      <c r="B871" s="234">
        <v>479</v>
      </c>
      <c r="C871" s="244" t="s">
        <v>1068</v>
      </c>
      <c r="D871" s="244" t="s">
        <v>1068</v>
      </c>
      <c r="E871" s="244" t="s">
        <v>1609</v>
      </c>
      <c r="F871" s="245">
        <v>-14.7</v>
      </c>
      <c r="G871" s="245">
        <v>-14.5</v>
      </c>
      <c r="H871" s="245">
        <v>-12.3</v>
      </c>
      <c r="I871" s="245">
        <v>-7.6</v>
      </c>
      <c r="J871" s="245">
        <v>-3.1</v>
      </c>
      <c r="K871" s="245">
        <v>0</v>
      </c>
      <c r="L871" s="245">
        <v>3.5</v>
      </c>
      <c r="M871" s="245">
        <v>3.6</v>
      </c>
      <c r="N871" s="245">
        <v>0.2</v>
      </c>
      <c r="O871" s="245">
        <v>-4.4000000000000004</v>
      </c>
      <c r="P871" s="245">
        <v>-8.1999999999999993</v>
      </c>
      <c r="Q871" s="245">
        <v>-12.1</v>
      </c>
      <c r="R871" s="246">
        <v>-5.8</v>
      </c>
      <c r="S871" s="233">
        <v>479</v>
      </c>
      <c r="T871" s="247" t="s">
        <v>1610</v>
      </c>
      <c r="U871" s="245">
        <v>-30</v>
      </c>
      <c r="V871" s="245">
        <v>-25</v>
      </c>
      <c r="W871" s="245">
        <v>-24</v>
      </c>
      <c r="X871" s="245">
        <v>-21</v>
      </c>
      <c r="Y871" s="245">
        <v>-9</v>
      </c>
      <c r="Z871" s="245">
        <v>-42</v>
      </c>
      <c r="AA871" s="245">
        <v>7.3</v>
      </c>
      <c r="AB871" s="245">
        <v>272</v>
      </c>
      <c r="AC871" s="245">
        <v>-8.6</v>
      </c>
      <c r="AD871" s="245">
        <v>365</v>
      </c>
      <c r="AE871" s="245">
        <v>-5.7</v>
      </c>
      <c r="AF871" s="245">
        <v>365</v>
      </c>
      <c r="AG871" s="245">
        <v>-5.7</v>
      </c>
      <c r="AH871" s="245" t="s">
        <v>956</v>
      </c>
      <c r="AI871" s="245">
        <v>72</v>
      </c>
      <c r="AJ871" s="245">
        <v>377</v>
      </c>
      <c r="AK871" s="245" t="s">
        <v>950</v>
      </c>
      <c r="AL871" s="245" t="s">
        <v>931</v>
      </c>
      <c r="AM871" s="246">
        <v>4.9000000000000004</v>
      </c>
      <c r="AN871" s="235">
        <v>479</v>
      </c>
      <c r="AO871" s="247" t="s">
        <v>1611</v>
      </c>
      <c r="AP871" s="247">
        <v>645</v>
      </c>
      <c r="AQ871" s="247" t="s">
        <v>958</v>
      </c>
      <c r="AR871" s="247" t="s">
        <v>931</v>
      </c>
      <c r="AS871" s="247">
        <v>6.8</v>
      </c>
      <c r="AT871" s="247">
        <v>17</v>
      </c>
      <c r="AU871" s="247">
        <v>6.2</v>
      </c>
      <c r="AV871" s="247">
        <v>77</v>
      </c>
      <c r="AW871" s="247">
        <v>82</v>
      </c>
      <c r="AX871" s="247" t="s">
        <v>931</v>
      </c>
      <c r="AY871" s="247">
        <v>113</v>
      </c>
      <c r="AZ871" s="247" t="s">
        <v>952</v>
      </c>
      <c r="BA871" s="248">
        <v>1.8</v>
      </c>
      <c r="BB871" s="235"/>
      <c r="BC871" s="247" t="s">
        <v>1610</v>
      </c>
      <c r="BD871" s="247"/>
      <c r="BE871" s="247"/>
      <c r="BF871" s="247"/>
      <c r="BG871" s="247"/>
      <c r="BH871" s="247"/>
      <c r="BI871" s="247"/>
      <c r="BJ871" s="247"/>
      <c r="BK871" s="247"/>
      <c r="BL871" s="247"/>
      <c r="BM871" s="247"/>
      <c r="BN871" s="247"/>
      <c r="BO871" s="247"/>
      <c r="BP871" s="248"/>
    </row>
    <row r="872" spans="1:68" ht="14.25" customHeight="1">
      <c r="A872" s="233">
        <v>215</v>
      </c>
      <c r="B872" s="234">
        <v>381</v>
      </c>
      <c r="C872" s="244" t="s">
        <v>928</v>
      </c>
      <c r="D872" s="244" t="s">
        <v>947</v>
      </c>
      <c r="E872" s="244" t="s">
        <v>1612</v>
      </c>
      <c r="F872" s="245">
        <v>-35.5</v>
      </c>
      <c r="G872" s="245">
        <v>-28.7</v>
      </c>
      <c r="H872" s="245">
        <v>-17.100000000000001</v>
      </c>
      <c r="I872" s="245">
        <v>-3.7</v>
      </c>
      <c r="J872" s="245">
        <v>6</v>
      </c>
      <c r="K872" s="245">
        <v>13.6</v>
      </c>
      <c r="L872" s="245">
        <v>16.600000000000001</v>
      </c>
      <c r="M872" s="245">
        <v>13.3</v>
      </c>
      <c r="N872" s="245">
        <v>5.8</v>
      </c>
      <c r="O872" s="245">
        <v>-6</v>
      </c>
      <c r="P872" s="245">
        <v>-22.6</v>
      </c>
      <c r="Q872" s="245">
        <v>-33.6</v>
      </c>
      <c r="R872" s="246">
        <v>-7.7</v>
      </c>
      <c r="S872" s="233">
        <v>381</v>
      </c>
      <c r="T872" s="247" t="s">
        <v>1613</v>
      </c>
      <c r="U872" s="245">
        <v>-51</v>
      </c>
      <c r="V872" s="245">
        <v>-49</v>
      </c>
      <c r="W872" s="245">
        <v>-49</v>
      </c>
      <c r="X872" s="245">
        <v>-47</v>
      </c>
      <c r="Y872" s="245">
        <v>-40</v>
      </c>
      <c r="Z872" s="245">
        <v>-56</v>
      </c>
      <c r="AA872" s="245">
        <v>15.6</v>
      </c>
      <c r="AB872" s="245">
        <v>209</v>
      </c>
      <c r="AC872" s="245">
        <v>-20.9</v>
      </c>
      <c r="AD872" s="245">
        <v>260</v>
      </c>
      <c r="AE872" s="245">
        <v>-16</v>
      </c>
      <c r="AF872" s="245">
        <v>276</v>
      </c>
      <c r="AG872" s="245">
        <v>-14.5</v>
      </c>
      <c r="AH872" s="245">
        <v>74</v>
      </c>
      <c r="AI872" s="245">
        <v>67</v>
      </c>
      <c r="AJ872" s="245">
        <v>27</v>
      </c>
      <c r="AK872" s="245" t="s">
        <v>950</v>
      </c>
      <c r="AL872" s="245" t="s">
        <v>931</v>
      </c>
      <c r="AM872" s="246">
        <v>1</v>
      </c>
      <c r="AN872" s="235">
        <v>381</v>
      </c>
      <c r="AO872" s="247" t="s">
        <v>1614</v>
      </c>
      <c r="AP872" s="247">
        <v>940</v>
      </c>
      <c r="AQ872" s="247">
        <v>22.9</v>
      </c>
      <c r="AR872" s="247">
        <v>27</v>
      </c>
      <c r="AS872" s="247">
        <v>25.3</v>
      </c>
      <c r="AT872" s="247">
        <v>37</v>
      </c>
      <c r="AU872" s="247">
        <v>16.2</v>
      </c>
      <c r="AV872" s="247">
        <v>75</v>
      </c>
      <c r="AW872" s="247">
        <v>51</v>
      </c>
      <c r="AX872" s="247">
        <v>362</v>
      </c>
      <c r="AY872" s="247">
        <v>63</v>
      </c>
      <c r="AZ872" s="247" t="s">
        <v>940</v>
      </c>
      <c r="BA872" s="248" t="s">
        <v>934</v>
      </c>
      <c r="BB872" s="235">
        <v>345</v>
      </c>
      <c r="BC872" s="247" t="s">
        <v>1612</v>
      </c>
      <c r="BD872" s="247">
        <v>0.3</v>
      </c>
      <c r="BE872" s="247">
        <v>0.5</v>
      </c>
      <c r="BF872" s="247">
        <v>1.2</v>
      </c>
      <c r="BG872" s="247">
        <v>2.6</v>
      </c>
      <c r="BH872" s="247">
        <v>4.7</v>
      </c>
      <c r="BI872" s="247">
        <v>9.4</v>
      </c>
      <c r="BJ872" s="247">
        <v>13.7</v>
      </c>
      <c r="BK872" s="247">
        <v>11.9</v>
      </c>
      <c r="BL872" s="247">
        <v>6.5</v>
      </c>
      <c r="BM872" s="247">
        <v>2.9</v>
      </c>
      <c r="BN872" s="247">
        <v>0.9</v>
      </c>
      <c r="BO872" s="247">
        <v>0.4</v>
      </c>
      <c r="BP872" s="248">
        <v>4.5999999999999996</v>
      </c>
    </row>
    <row r="873" spans="1:68" ht="14.25" customHeight="1">
      <c r="A873" s="233">
        <v>216</v>
      </c>
      <c r="B873" s="234">
        <v>109</v>
      </c>
      <c r="C873" s="244" t="s">
        <v>928</v>
      </c>
      <c r="D873" s="244" t="s">
        <v>1615</v>
      </c>
      <c r="E873" s="244" t="s">
        <v>168</v>
      </c>
      <c r="F873" s="245">
        <v>-3.1</v>
      </c>
      <c r="G873" s="245">
        <v>-2.5</v>
      </c>
      <c r="H873" s="245">
        <v>0.6</v>
      </c>
      <c r="I873" s="245">
        <v>6.2</v>
      </c>
      <c r="J873" s="245">
        <v>11.6</v>
      </c>
      <c r="K873" s="245">
        <v>15.2</v>
      </c>
      <c r="L873" s="245">
        <v>17.3</v>
      </c>
      <c r="M873" s="245">
        <v>16.7</v>
      </c>
      <c r="N873" s="245">
        <v>13</v>
      </c>
      <c r="O873" s="245">
        <v>7.8</v>
      </c>
      <c r="P873" s="245">
        <v>2.9</v>
      </c>
      <c r="Q873" s="245">
        <v>-0.9</v>
      </c>
      <c r="R873" s="246">
        <v>7.1</v>
      </c>
      <c r="S873" s="233">
        <v>109</v>
      </c>
      <c r="T873" s="247" t="s">
        <v>1616</v>
      </c>
      <c r="U873" s="245">
        <v>-29</v>
      </c>
      <c r="V873" s="245">
        <v>-24</v>
      </c>
      <c r="W873" s="245">
        <v>-21</v>
      </c>
      <c r="X873" s="245">
        <v>-19</v>
      </c>
      <c r="Y873" s="245">
        <v>-8</v>
      </c>
      <c r="Z873" s="245">
        <v>-33</v>
      </c>
      <c r="AA873" s="245">
        <v>5</v>
      </c>
      <c r="AB873" s="245">
        <v>92</v>
      </c>
      <c r="AC873" s="245">
        <v>-1.9</v>
      </c>
      <c r="AD873" s="245">
        <v>193</v>
      </c>
      <c r="AE873" s="245">
        <v>1.1000000000000001</v>
      </c>
      <c r="AF873" s="245">
        <v>216</v>
      </c>
      <c r="AG873" s="245">
        <v>1.9</v>
      </c>
      <c r="AH873" s="245">
        <v>85</v>
      </c>
      <c r="AI873" s="245">
        <v>82</v>
      </c>
      <c r="AJ873" s="245">
        <v>280</v>
      </c>
      <c r="AK873" s="245" t="s">
        <v>990</v>
      </c>
      <c r="AL873" s="245">
        <v>5.9</v>
      </c>
      <c r="AM873" s="246">
        <v>4.0999999999999996</v>
      </c>
      <c r="AN873" s="235">
        <v>109</v>
      </c>
      <c r="AO873" s="247" t="s">
        <v>1617</v>
      </c>
      <c r="AP873" s="247">
        <v>1010</v>
      </c>
      <c r="AQ873" s="247">
        <v>21.2</v>
      </c>
      <c r="AR873" s="247">
        <v>24.7</v>
      </c>
      <c r="AS873" s="247">
        <v>22.4</v>
      </c>
      <c r="AT873" s="247">
        <v>36</v>
      </c>
      <c r="AU873" s="247">
        <v>9.3000000000000007</v>
      </c>
      <c r="AV873" s="247">
        <v>77</v>
      </c>
      <c r="AW873" s="247">
        <v>63</v>
      </c>
      <c r="AX873" s="247">
        <v>508</v>
      </c>
      <c r="AY873" s="247">
        <v>110</v>
      </c>
      <c r="AZ873" s="247" t="s">
        <v>952</v>
      </c>
      <c r="BA873" s="248">
        <v>4.3</v>
      </c>
      <c r="BB873" s="235">
        <v>93</v>
      </c>
      <c r="BC873" s="247" t="s">
        <v>168</v>
      </c>
      <c r="BD873" s="247">
        <v>4.4000000000000004</v>
      </c>
      <c r="BE873" s="247">
        <v>4.5</v>
      </c>
      <c r="BF873" s="247">
        <v>5.2</v>
      </c>
      <c r="BG873" s="247">
        <v>7.1</v>
      </c>
      <c r="BH873" s="247">
        <v>9.6999999999999993</v>
      </c>
      <c r="BI873" s="247">
        <v>12.9</v>
      </c>
      <c r="BJ873" s="247">
        <v>15</v>
      </c>
      <c r="BK873" s="247">
        <v>14.9</v>
      </c>
      <c r="BL873" s="247">
        <v>12.3</v>
      </c>
      <c r="BM873" s="247">
        <v>9.3000000000000007</v>
      </c>
      <c r="BN873" s="247">
        <v>7</v>
      </c>
      <c r="BO873" s="247">
        <v>5.5</v>
      </c>
      <c r="BP873" s="248">
        <v>9</v>
      </c>
    </row>
    <row r="874" spans="1:68" ht="14.25" customHeight="1">
      <c r="A874" s="233">
        <v>217</v>
      </c>
      <c r="B874" s="234">
        <v>111</v>
      </c>
      <c r="C874" s="244" t="s">
        <v>928</v>
      </c>
      <c r="D874" s="244" t="s">
        <v>1618</v>
      </c>
      <c r="E874" s="244" t="s">
        <v>1619</v>
      </c>
      <c r="F874" s="245">
        <v>-10.1</v>
      </c>
      <c r="G874" s="245">
        <v>-8.9</v>
      </c>
      <c r="H874" s="245">
        <v>-3.9</v>
      </c>
      <c r="I874" s="245">
        <v>4.8</v>
      </c>
      <c r="J874" s="245">
        <v>12.3</v>
      </c>
      <c r="K874" s="245">
        <v>16.2</v>
      </c>
      <c r="L874" s="245">
        <v>18</v>
      </c>
      <c r="M874" s="245">
        <v>16.5</v>
      </c>
      <c r="N874" s="245">
        <v>11</v>
      </c>
      <c r="O874" s="245">
        <v>4.7</v>
      </c>
      <c r="P874" s="245">
        <v>-1.5</v>
      </c>
      <c r="Q874" s="245">
        <v>-6.5</v>
      </c>
      <c r="R874" s="246">
        <v>4.4000000000000004</v>
      </c>
      <c r="S874" s="233">
        <v>111</v>
      </c>
      <c r="T874" s="247" t="s">
        <v>1620</v>
      </c>
      <c r="U874" s="245">
        <v>-34</v>
      </c>
      <c r="V874" s="245">
        <v>-31</v>
      </c>
      <c r="W874" s="245">
        <v>-30</v>
      </c>
      <c r="X874" s="245">
        <v>-27</v>
      </c>
      <c r="Y874" s="245">
        <v>-15</v>
      </c>
      <c r="Z874" s="245">
        <v>-46</v>
      </c>
      <c r="AA874" s="245">
        <v>7.3</v>
      </c>
      <c r="AB874" s="245">
        <v>142</v>
      </c>
      <c r="AC874" s="245">
        <v>-6.2</v>
      </c>
      <c r="AD874" s="245">
        <v>210</v>
      </c>
      <c r="AE874" s="245">
        <v>-2.9</v>
      </c>
      <c r="AF874" s="245">
        <v>228</v>
      </c>
      <c r="AG874" s="245">
        <v>-1.9</v>
      </c>
      <c r="AH874" s="245">
        <v>83</v>
      </c>
      <c r="AI874" s="245">
        <v>83</v>
      </c>
      <c r="AJ874" s="245">
        <v>213</v>
      </c>
      <c r="AK874" s="245" t="s">
        <v>963</v>
      </c>
      <c r="AL874" s="245">
        <v>4.9000000000000004</v>
      </c>
      <c r="AM874" s="246">
        <v>3.9</v>
      </c>
      <c r="AN874" s="235">
        <v>111</v>
      </c>
      <c r="AO874" s="247" t="s">
        <v>1621</v>
      </c>
      <c r="AP874" s="247">
        <v>990</v>
      </c>
      <c r="AQ874" s="247">
        <v>21</v>
      </c>
      <c r="AR874" s="247">
        <v>25.2</v>
      </c>
      <c r="AS874" s="247">
        <v>23.4</v>
      </c>
      <c r="AT874" s="247">
        <v>38</v>
      </c>
      <c r="AU874" s="247">
        <v>10.7</v>
      </c>
      <c r="AV874" s="247">
        <v>76</v>
      </c>
      <c r="AW874" s="247">
        <v>59</v>
      </c>
      <c r="AX874" s="247">
        <v>441</v>
      </c>
      <c r="AY874" s="247">
        <v>89</v>
      </c>
      <c r="AZ874" s="247" t="s">
        <v>959</v>
      </c>
      <c r="BA874" s="248">
        <v>0</v>
      </c>
      <c r="BB874" s="235">
        <v>95</v>
      </c>
      <c r="BC874" s="247" t="s">
        <v>1619</v>
      </c>
      <c r="BD874" s="247">
        <v>2.8</v>
      </c>
      <c r="BE874" s="247">
        <v>2.8</v>
      </c>
      <c r="BF874" s="247">
        <v>3.9</v>
      </c>
      <c r="BG874" s="247">
        <v>6.4</v>
      </c>
      <c r="BH874" s="247">
        <v>9.6</v>
      </c>
      <c r="BI874" s="247">
        <v>12.8</v>
      </c>
      <c r="BJ874" s="247">
        <v>14.9</v>
      </c>
      <c r="BK874" s="247">
        <v>14</v>
      </c>
      <c r="BL874" s="247">
        <v>10.3</v>
      </c>
      <c r="BM874" s="247">
        <v>7.2</v>
      </c>
      <c r="BN874" s="247">
        <v>5</v>
      </c>
      <c r="BO874" s="247">
        <v>3.8</v>
      </c>
      <c r="BP874" s="248">
        <v>7.8</v>
      </c>
    </row>
    <row r="875" spans="1:68" ht="14.25" customHeight="1">
      <c r="A875" s="233">
        <v>218</v>
      </c>
      <c r="B875" s="234">
        <v>281</v>
      </c>
      <c r="C875" s="244" t="s">
        <v>928</v>
      </c>
      <c r="D875" s="244" t="s">
        <v>1290</v>
      </c>
      <c r="E875" s="244" t="s">
        <v>1622</v>
      </c>
      <c r="F875" s="245">
        <v>-16.2</v>
      </c>
      <c r="G875" s="245">
        <v>-14.7</v>
      </c>
      <c r="H875" s="245">
        <v>-7.5</v>
      </c>
      <c r="I875" s="245">
        <v>3.5</v>
      </c>
      <c r="J875" s="245">
        <v>11.2</v>
      </c>
      <c r="K875" s="245">
        <v>16.2</v>
      </c>
      <c r="L875" s="245">
        <v>18.100000000000001</v>
      </c>
      <c r="M875" s="245">
        <v>15.7</v>
      </c>
      <c r="N875" s="245">
        <v>9.9</v>
      </c>
      <c r="O875" s="245">
        <v>1.9</v>
      </c>
      <c r="P875" s="245">
        <v>-6.5</v>
      </c>
      <c r="Q875" s="245">
        <v>-13.5</v>
      </c>
      <c r="R875" s="246">
        <v>1.5</v>
      </c>
      <c r="S875" s="233">
        <v>281</v>
      </c>
      <c r="T875" s="247" t="s">
        <v>1623</v>
      </c>
      <c r="U875" s="245">
        <v>-42</v>
      </c>
      <c r="V875" s="245">
        <v>-40</v>
      </c>
      <c r="W875" s="245">
        <v>-38</v>
      </c>
      <c r="X875" s="245">
        <v>-35</v>
      </c>
      <c r="Y875" s="245">
        <v>-20</v>
      </c>
      <c r="Z875" s="245">
        <v>-46</v>
      </c>
      <c r="AA875" s="245">
        <v>8.5</v>
      </c>
      <c r="AB875" s="245">
        <v>166</v>
      </c>
      <c r="AC875" s="245">
        <v>-10.7</v>
      </c>
      <c r="AD875" s="245">
        <v>222</v>
      </c>
      <c r="AE875" s="245">
        <v>-6.9</v>
      </c>
      <c r="AF875" s="245">
        <v>240</v>
      </c>
      <c r="AG875" s="245">
        <v>-5.7</v>
      </c>
      <c r="AH875" s="245">
        <v>78</v>
      </c>
      <c r="AI875" s="245">
        <v>76</v>
      </c>
      <c r="AJ875" s="245">
        <v>116</v>
      </c>
      <c r="AK875" s="245" t="s">
        <v>971</v>
      </c>
      <c r="AL875" s="245" t="s">
        <v>931</v>
      </c>
      <c r="AM875" s="246">
        <v>3.2</v>
      </c>
      <c r="AN875" s="235">
        <v>299</v>
      </c>
      <c r="AO875" s="247" t="s">
        <v>1624</v>
      </c>
      <c r="AP875" s="247">
        <v>985</v>
      </c>
      <c r="AQ875" s="247">
        <v>22</v>
      </c>
      <c r="AR875" s="247">
        <v>26</v>
      </c>
      <c r="AS875" s="247">
        <v>23.9</v>
      </c>
      <c r="AT875" s="247">
        <v>39</v>
      </c>
      <c r="AU875" s="247">
        <v>11.4</v>
      </c>
      <c r="AV875" s="247">
        <v>72</v>
      </c>
      <c r="AW875" s="247">
        <v>58</v>
      </c>
      <c r="AX875" s="247">
        <v>351</v>
      </c>
      <c r="AY875" s="247">
        <v>101</v>
      </c>
      <c r="AZ875" s="247" t="s">
        <v>952</v>
      </c>
      <c r="BA875" s="248" t="s">
        <v>934</v>
      </c>
      <c r="BB875" s="235">
        <v>270</v>
      </c>
      <c r="BC875" s="247" t="s">
        <v>1622</v>
      </c>
      <c r="BD875" s="247">
        <v>1.6</v>
      </c>
      <c r="BE875" s="247">
        <v>1.7</v>
      </c>
      <c r="BF875" s="247">
        <v>2.9</v>
      </c>
      <c r="BG875" s="247">
        <v>5.5</v>
      </c>
      <c r="BH875" s="247">
        <v>7.7</v>
      </c>
      <c r="BI875" s="247">
        <v>11.7</v>
      </c>
      <c r="BJ875" s="247">
        <v>14.7</v>
      </c>
      <c r="BK875" s="247">
        <v>13.1</v>
      </c>
      <c r="BL875" s="247">
        <v>9.3000000000000007</v>
      </c>
      <c r="BM875" s="247">
        <v>5.4</v>
      </c>
      <c r="BN875" s="247">
        <v>3.3</v>
      </c>
      <c r="BO875" s="247">
        <v>2.1</v>
      </c>
      <c r="BP875" s="248">
        <v>6.5</v>
      </c>
    </row>
    <row r="876" spans="1:68" ht="14.25" customHeight="1">
      <c r="A876" s="233">
        <v>219</v>
      </c>
      <c r="B876" s="234">
        <v>463</v>
      </c>
      <c r="C876" s="244" t="s">
        <v>1253</v>
      </c>
      <c r="D876" s="244" t="s">
        <v>1253</v>
      </c>
      <c r="E876" s="244" t="s">
        <v>1625</v>
      </c>
      <c r="F876" s="245">
        <v>-7.5</v>
      </c>
      <c r="G876" s="245">
        <v>-6.3</v>
      </c>
      <c r="H876" s="245">
        <v>-2.5</v>
      </c>
      <c r="I876" s="245">
        <v>3.9</v>
      </c>
      <c r="J876" s="245">
        <v>8.9</v>
      </c>
      <c r="K876" s="245">
        <v>12.5</v>
      </c>
      <c r="L876" s="245">
        <v>15.7</v>
      </c>
      <c r="M876" s="245">
        <v>15.8</v>
      </c>
      <c r="N876" s="245">
        <v>12</v>
      </c>
      <c r="O876" s="245">
        <v>6.7</v>
      </c>
      <c r="P876" s="245">
        <v>0.6</v>
      </c>
      <c r="Q876" s="245">
        <v>-4.8</v>
      </c>
      <c r="R876" s="246">
        <v>4.5999999999999996</v>
      </c>
      <c r="S876" s="233">
        <v>463</v>
      </c>
      <c r="T876" s="247" t="s">
        <v>1626</v>
      </c>
      <c r="U876" s="245">
        <v>-24</v>
      </c>
      <c r="V876" s="245">
        <v>-22</v>
      </c>
      <c r="W876" s="245">
        <v>-21</v>
      </c>
      <c r="X876" s="245">
        <v>-18</v>
      </c>
      <c r="Y876" s="245" t="s">
        <v>956</v>
      </c>
      <c r="Z876" s="245">
        <v>-33</v>
      </c>
      <c r="AA876" s="245" t="s">
        <v>956</v>
      </c>
      <c r="AB876" s="245">
        <v>134</v>
      </c>
      <c r="AC876" s="245">
        <v>-4.9000000000000004</v>
      </c>
      <c r="AD876" s="245">
        <v>211</v>
      </c>
      <c r="AE876" s="245">
        <v>-1.5</v>
      </c>
      <c r="AF876" s="245">
        <v>243</v>
      </c>
      <c r="AG876" s="245">
        <v>-0.1</v>
      </c>
      <c r="AH876" s="245">
        <v>73</v>
      </c>
      <c r="AI876" s="245">
        <v>65</v>
      </c>
      <c r="AJ876" s="245">
        <v>114</v>
      </c>
      <c r="AK876" s="245" t="s">
        <v>971</v>
      </c>
      <c r="AL876" s="245">
        <v>5.9</v>
      </c>
      <c r="AM876" s="246" t="s">
        <v>931</v>
      </c>
      <c r="AN876" s="235">
        <v>463</v>
      </c>
      <c r="AO876" s="247" t="s">
        <v>1627</v>
      </c>
      <c r="AP876" s="247">
        <v>805</v>
      </c>
      <c r="AQ876" s="247" t="s">
        <v>958</v>
      </c>
      <c r="AR876" s="247" t="s">
        <v>931</v>
      </c>
      <c r="AS876" s="247">
        <v>22.3</v>
      </c>
      <c r="AT876" s="247">
        <v>32</v>
      </c>
      <c r="AU876" s="247" t="s">
        <v>934</v>
      </c>
      <c r="AV876" s="247">
        <v>73</v>
      </c>
      <c r="AW876" s="247">
        <v>52</v>
      </c>
      <c r="AX876" s="247">
        <v>375</v>
      </c>
      <c r="AY876" s="247">
        <v>69</v>
      </c>
      <c r="AZ876" s="247" t="s">
        <v>1005</v>
      </c>
      <c r="BA876" s="248">
        <v>0</v>
      </c>
      <c r="BB876" s="235"/>
      <c r="BC876" s="247" t="s">
        <v>1626</v>
      </c>
      <c r="BD876" s="247"/>
      <c r="BE876" s="247"/>
      <c r="BF876" s="247"/>
      <c r="BG876" s="247"/>
      <c r="BH876" s="247"/>
      <c r="BI876" s="247"/>
      <c r="BJ876" s="247"/>
      <c r="BK876" s="247"/>
      <c r="BL876" s="247"/>
      <c r="BM876" s="247"/>
      <c r="BN876" s="247"/>
      <c r="BO876" s="247"/>
      <c r="BP876" s="248"/>
    </row>
    <row r="877" spans="1:68" ht="14.25" customHeight="1">
      <c r="A877" s="233">
        <v>220</v>
      </c>
      <c r="B877" s="234">
        <v>67</v>
      </c>
      <c r="C877" s="244" t="s">
        <v>928</v>
      </c>
      <c r="D877" s="244" t="s">
        <v>1316</v>
      </c>
      <c r="E877" s="244" t="s">
        <v>1628</v>
      </c>
      <c r="F877" s="245">
        <v>-10.4</v>
      </c>
      <c r="G877" s="245">
        <v>-9.9</v>
      </c>
      <c r="H877" s="245">
        <v>-4</v>
      </c>
      <c r="I877" s="245">
        <v>-7.7</v>
      </c>
      <c r="J877" s="245">
        <v>16.2</v>
      </c>
      <c r="K877" s="245">
        <v>20.7</v>
      </c>
      <c r="L877" s="245">
        <v>23.2</v>
      </c>
      <c r="M877" s="245">
        <v>21.5</v>
      </c>
      <c r="N877" s="245">
        <v>15.1</v>
      </c>
      <c r="O877" s="245">
        <v>6.7</v>
      </c>
      <c r="P877" s="245">
        <v>-0.8</v>
      </c>
      <c r="Q877" s="245">
        <v>-6.7</v>
      </c>
      <c r="R877" s="246">
        <v>6.6</v>
      </c>
      <c r="S877" s="233">
        <v>67</v>
      </c>
      <c r="T877" s="247" t="s">
        <v>1629</v>
      </c>
      <c r="U877" s="245">
        <v>-32</v>
      </c>
      <c r="V877" s="245">
        <v>-30</v>
      </c>
      <c r="W877" s="245">
        <v>-29</v>
      </c>
      <c r="X877" s="245">
        <v>-26</v>
      </c>
      <c r="Y877" s="245">
        <v>-12</v>
      </c>
      <c r="Z877" s="245">
        <v>-37</v>
      </c>
      <c r="AA877" s="245">
        <v>7.1</v>
      </c>
      <c r="AB877" s="245">
        <v>134</v>
      </c>
      <c r="AC877" s="245">
        <v>-7.2</v>
      </c>
      <c r="AD877" s="245">
        <v>188</v>
      </c>
      <c r="AE877" s="245">
        <v>-4.0999999999999996</v>
      </c>
      <c r="AF877" s="245">
        <v>200</v>
      </c>
      <c r="AG877" s="245">
        <v>-3.3</v>
      </c>
      <c r="AH877" s="245">
        <v>86</v>
      </c>
      <c r="AI877" s="245">
        <v>81</v>
      </c>
      <c r="AJ877" s="245">
        <v>220</v>
      </c>
      <c r="AK877" s="245" t="s">
        <v>1630</v>
      </c>
      <c r="AL877" s="245">
        <v>8.5</v>
      </c>
      <c r="AM877" s="246">
        <v>6.4</v>
      </c>
      <c r="AN877" s="235">
        <v>67</v>
      </c>
      <c r="AO877" s="247" t="s">
        <v>1631</v>
      </c>
      <c r="AP877" s="247">
        <v>1005</v>
      </c>
      <c r="AQ877" s="247">
        <v>26</v>
      </c>
      <c r="AR877" s="247">
        <v>32</v>
      </c>
      <c r="AS877" s="247">
        <v>29.9</v>
      </c>
      <c r="AT877" s="247">
        <v>42</v>
      </c>
      <c r="AU877" s="247">
        <v>12.5</v>
      </c>
      <c r="AV877" s="247">
        <v>51</v>
      </c>
      <c r="AW877" s="247">
        <v>38</v>
      </c>
      <c r="AX877" s="247">
        <v>213</v>
      </c>
      <c r="AY877" s="247" t="s">
        <v>965</v>
      </c>
      <c r="AZ877" s="247" t="s">
        <v>959</v>
      </c>
      <c r="BA877" s="248">
        <v>4.5999999999999996</v>
      </c>
      <c r="BB877" s="235"/>
      <c r="BC877" s="247" t="s">
        <v>1628</v>
      </c>
      <c r="BD877" s="247"/>
      <c r="BE877" s="247"/>
      <c r="BF877" s="247"/>
      <c r="BG877" s="247"/>
      <c r="BH877" s="247"/>
      <c r="BI877" s="247"/>
      <c r="BJ877" s="247"/>
      <c r="BK877" s="247"/>
      <c r="BL877" s="247"/>
      <c r="BM877" s="247"/>
      <c r="BN877" s="247"/>
      <c r="BO877" s="247"/>
      <c r="BP877" s="248"/>
    </row>
    <row r="878" spans="1:68" ht="14.25" customHeight="1">
      <c r="A878" s="233">
        <v>221</v>
      </c>
      <c r="B878" s="234">
        <v>214</v>
      </c>
      <c r="C878" s="244" t="s">
        <v>928</v>
      </c>
      <c r="D878" s="244" t="s">
        <v>1246</v>
      </c>
      <c r="E878" s="244" t="s">
        <v>1632</v>
      </c>
      <c r="F878" s="245">
        <v>-11.8</v>
      </c>
      <c r="G878" s="245">
        <v>-12.1</v>
      </c>
      <c r="H878" s="245">
        <v>-7.8</v>
      </c>
      <c r="I878" s="245">
        <v>-1.6</v>
      </c>
      <c r="J878" s="245">
        <v>4.0999999999999996</v>
      </c>
      <c r="K878" s="245">
        <v>10.6</v>
      </c>
      <c r="L878" s="245">
        <v>14.8</v>
      </c>
      <c r="M878" s="245">
        <v>12.7</v>
      </c>
      <c r="N878" s="245">
        <v>7.1</v>
      </c>
      <c r="O878" s="245">
        <v>1.1000000000000001</v>
      </c>
      <c r="P878" s="245">
        <v>-4.2</v>
      </c>
      <c r="Q878" s="245">
        <v>-8.5</v>
      </c>
      <c r="R878" s="246">
        <v>0.4</v>
      </c>
      <c r="S878" s="233">
        <v>214</v>
      </c>
      <c r="T878" s="247" t="s">
        <v>1633</v>
      </c>
      <c r="U878" s="245">
        <v>-38</v>
      </c>
      <c r="V878" s="245">
        <v>-34</v>
      </c>
      <c r="W878" s="245">
        <v>-35</v>
      </c>
      <c r="X878" s="245">
        <v>-30</v>
      </c>
      <c r="Y878" s="245">
        <v>-17</v>
      </c>
      <c r="Z878" s="245">
        <v>-44</v>
      </c>
      <c r="AA878" s="245">
        <v>8.1999999999999993</v>
      </c>
      <c r="AB878" s="245">
        <v>184</v>
      </c>
      <c r="AC878" s="245">
        <v>-7.4</v>
      </c>
      <c r="AD878" s="245">
        <v>266</v>
      </c>
      <c r="AE878" s="245">
        <v>-3.9</v>
      </c>
      <c r="AF878" s="245">
        <v>286</v>
      </c>
      <c r="AG878" s="245">
        <v>-3</v>
      </c>
      <c r="AH878" s="245">
        <v>85</v>
      </c>
      <c r="AI878" s="245">
        <v>81</v>
      </c>
      <c r="AJ878" s="245">
        <v>132</v>
      </c>
      <c r="AK878" s="245" t="s">
        <v>996</v>
      </c>
      <c r="AL878" s="245">
        <v>5.7</v>
      </c>
      <c r="AM878" s="246">
        <v>3.7</v>
      </c>
      <c r="AN878" s="235">
        <v>214</v>
      </c>
      <c r="AO878" s="247" t="s">
        <v>1634</v>
      </c>
      <c r="AP878" s="247">
        <v>1010</v>
      </c>
      <c r="AQ878" s="247">
        <v>15.8</v>
      </c>
      <c r="AR878" s="247">
        <v>21.1</v>
      </c>
      <c r="AS878" s="247">
        <v>19.100000000000001</v>
      </c>
      <c r="AT878" s="247">
        <v>31</v>
      </c>
      <c r="AU878" s="247">
        <v>8.8000000000000007</v>
      </c>
      <c r="AV878" s="247">
        <v>72</v>
      </c>
      <c r="AW878" s="247">
        <v>61</v>
      </c>
      <c r="AX878" s="247">
        <v>357</v>
      </c>
      <c r="AY878" s="247">
        <v>51</v>
      </c>
      <c r="AZ878" s="247" t="s">
        <v>946</v>
      </c>
      <c r="BA878" s="248">
        <v>0</v>
      </c>
      <c r="BB878" s="235">
        <v>189</v>
      </c>
      <c r="BC878" s="247" t="s">
        <v>1632</v>
      </c>
      <c r="BD878" s="247">
        <v>2.4</v>
      </c>
      <c r="BE878" s="247">
        <v>2.4</v>
      </c>
      <c r="BF878" s="247">
        <v>3</v>
      </c>
      <c r="BG878" s="247">
        <v>4.2</v>
      </c>
      <c r="BH878" s="247">
        <v>5.8</v>
      </c>
      <c r="BI878" s="247">
        <v>9</v>
      </c>
      <c r="BJ878" s="247">
        <v>11.7</v>
      </c>
      <c r="BK878" s="247">
        <v>11.6</v>
      </c>
      <c r="BL878" s="247">
        <v>8.4</v>
      </c>
      <c r="BM878" s="247">
        <v>5.8</v>
      </c>
      <c r="BN878" s="247">
        <v>4.0999999999999996</v>
      </c>
      <c r="BO878" s="247">
        <v>3.1</v>
      </c>
      <c r="BP878" s="248">
        <v>6</v>
      </c>
    </row>
    <row r="879" spans="1:68" ht="14.25" customHeight="1">
      <c r="A879" s="233">
        <v>222</v>
      </c>
      <c r="B879" s="234">
        <v>452</v>
      </c>
      <c r="C879" s="244" t="s">
        <v>928</v>
      </c>
      <c r="D879" s="244" t="s">
        <v>1257</v>
      </c>
      <c r="E879" s="244" t="s">
        <v>1635</v>
      </c>
      <c r="F879" s="245">
        <v>-8.1999999999999993</v>
      </c>
      <c r="G879" s="245">
        <v>-9.6</v>
      </c>
      <c r="H879" s="245">
        <v>-8.6999999999999993</v>
      </c>
      <c r="I879" s="245">
        <v>-4.8</v>
      </c>
      <c r="J879" s="245">
        <v>-0.8</v>
      </c>
      <c r="K879" s="245">
        <v>4.2</v>
      </c>
      <c r="L879" s="245">
        <v>8.4</v>
      </c>
      <c r="M879" s="245">
        <v>8.6</v>
      </c>
      <c r="N879" s="245">
        <v>5.8</v>
      </c>
      <c r="O879" s="245">
        <v>1.6</v>
      </c>
      <c r="P879" s="245">
        <v>-1.9</v>
      </c>
      <c r="Q879" s="245">
        <v>-5.6</v>
      </c>
      <c r="R879" s="246">
        <v>-0.9</v>
      </c>
      <c r="S879" s="233">
        <v>452</v>
      </c>
      <c r="T879" s="247" t="s">
        <v>1635</v>
      </c>
      <c r="U879" s="245">
        <v>-28</v>
      </c>
      <c r="V879" s="245">
        <v>-25</v>
      </c>
      <c r="W879" s="245">
        <v>-25</v>
      </c>
      <c r="X879" s="245">
        <v>-23</v>
      </c>
      <c r="Y879" s="245">
        <v>-15</v>
      </c>
      <c r="Z879" s="245">
        <v>-38</v>
      </c>
      <c r="AA879" s="245">
        <v>5.6</v>
      </c>
      <c r="AB879" s="245">
        <v>203</v>
      </c>
      <c r="AC879" s="245">
        <v>-5.8</v>
      </c>
      <c r="AD879" s="245">
        <v>325</v>
      </c>
      <c r="AE879" s="245">
        <v>-2</v>
      </c>
      <c r="AF879" s="245">
        <v>365</v>
      </c>
      <c r="AG879" s="245">
        <v>-0.9</v>
      </c>
      <c r="AH879" s="245">
        <v>87</v>
      </c>
      <c r="AI879" s="245">
        <v>86</v>
      </c>
      <c r="AJ879" s="245">
        <v>164</v>
      </c>
      <c r="AK879" s="245" t="s">
        <v>963</v>
      </c>
      <c r="AL879" s="245">
        <v>10.1</v>
      </c>
      <c r="AM879" s="246">
        <v>7.7</v>
      </c>
      <c r="AN879" s="235">
        <v>452</v>
      </c>
      <c r="AO879" s="247" t="s">
        <v>1636</v>
      </c>
      <c r="AP879" s="247">
        <v>1005</v>
      </c>
      <c r="AQ879" s="247">
        <v>9.6</v>
      </c>
      <c r="AR879" s="247">
        <v>14.4</v>
      </c>
      <c r="AS879" s="247">
        <v>11.4</v>
      </c>
      <c r="AT879" s="247">
        <v>31</v>
      </c>
      <c r="AU879" s="247">
        <v>4.9000000000000004</v>
      </c>
      <c r="AV879" s="247">
        <v>88</v>
      </c>
      <c r="AW879" s="247">
        <v>83</v>
      </c>
      <c r="AX879" s="247">
        <v>248</v>
      </c>
      <c r="AY879" s="247">
        <v>85</v>
      </c>
      <c r="AZ879" s="247" t="s">
        <v>973</v>
      </c>
      <c r="BA879" s="248">
        <v>6.2</v>
      </c>
      <c r="BB879" s="235">
        <v>414</v>
      </c>
      <c r="BC879" s="247" t="s">
        <v>1635</v>
      </c>
      <c r="BD879" s="247">
        <v>3.1</v>
      </c>
      <c r="BE879" s="247">
        <v>2.8</v>
      </c>
      <c r="BF879" s="247">
        <v>3.1</v>
      </c>
      <c r="BG879" s="247">
        <v>4</v>
      </c>
      <c r="BH879" s="247">
        <v>5.0999999999999996</v>
      </c>
      <c r="BI879" s="247">
        <v>7.3</v>
      </c>
      <c r="BJ879" s="247">
        <v>9.8000000000000007</v>
      </c>
      <c r="BK879" s="247">
        <v>10.1</v>
      </c>
      <c r="BL879" s="247">
        <v>8.1999999999999993</v>
      </c>
      <c r="BM879" s="247">
        <v>5.9</v>
      </c>
      <c r="BN879" s="247">
        <v>4.5999999999999996</v>
      </c>
      <c r="BO879" s="247">
        <v>3.8</v>
      </c>
      <c r="BP879" s="248">
        <v>5.6</v>
      </c>
    </row>
    <row r="880" spans="1:68" ht="14.25" customHeight="1">
      <c r="A880" s="233">
        <v>223</v>
      </c>
      <c r="B880" s="234">
        <v>183</v>
      </c>
      <c r="C880" s="244" t="s">
        <v>928</v>
      </c>
      <c r="D880" s="244" t="s">
        <v>935</v>
      </c>
      <c r="E880" s="244" t="s">
        <v>170</v>
      </c>
      <c r="F880" s="245">
        <v>-20.2</v>
      </c>
      <c r="G880" s="245">
        <v>-18.7</v>
      </c>
      <c r="H880" s="245">
        <v>-10.3</v>
      </c>
      <c r="I880" s="245">
        <v>0.7</v>
      </c>
      <c r="J880" s="245">
        <v>8.6</v>
      </c>
      <c r="K880" s="245">
        <v>16</v>
      </c>
      <c r="L880" s="245">
        <v>18.8</v>
      </c>
      <c r="M880" s="245">
        <v>15.6</v>
      </c>
      <c r="N880" s="245">
        <v>8.8000000000000007</v>
      </c>
      <c r="O880" s="245">
        <v>0.4</v>
      </c>
      <c r="P880" s="245">
        <v>-10.199999999999999</v>
      </c>
      <c r="Q880" s="245">
        <v>-18.600000000000001</v>
      </c>
      <c r="R880" s="246">
        <v>-0.8</v>
      </c>
      <c r="S880" s="233">
        <v>183</v>
      </c>
      <c r="T880" s="247" t="s">
        <v>1637</v>
      </c>
      <c r="U880" s="245">
        <v>-48</v>
      </c>
      <c r="V880" s="245">
        <v>-46</v>
      </c>
      <c r="W880" s="245">
        <v>-45</v>
      </c>
      <c r="X880" s="245">
        <v>-42</v>
      </c>
      <c r="Y880" s="245">
        <v>-25</v>
      </c>
      <c r="Z880" s="245">
        <v>-51</v>
      </c>
      <c r="AA880" s="245">
        <v>10.4</v>
      </c>
      <c r="AB880" s="245">
        <v>178</v>
      </c>
      <c r="AC880" s="245">
        <v>-13.1</v>
      </c>
      <c r="AD880" s="245">
        <v>237</v>
      </c>
      <c r="AE880" s="245">
        <v>-8.8000000000000007</v>
      </c>
      <c r="AF880" s="245">
        <v>254</v>
      </c>
      <c r="AG880" s="245">
        <v>-7.7</v>
      </c>
      <c r="AH880" s="245">
        <v>77</v>
      </c>
      <c r="AI880" s="245">
        <v>75</v>
      </c>
      <c r="AJ880" s="245">
        <v>80</v>
      </c>
      <c r="AK880" s="245" t="s">
        <v>950</v>
      </c>
      <c r="AL880" s="245">
        <v>7.3</v>
      </c>
      <c r="AM880" s="246">
        <v>3.7</v>
      </c>
      <c r="AN880" s="235">
        <v>183</v>
      </c>
      <c r="AO880" s="247" t="s">
        <v>1638</v>
      </c>
      <c r="AP880" s="247">
        <v>985</v>
      </c>
      <c r="AQ880" s="247">
        <v>23.1</v>
      </c>
      <c r="AR880" s="247">
        <v>27.2</v>
      </c>
      <c r="AS880" s="247">
        <v>25.5</v>
      </c>
      <c r="AT880" s="247">
        <v>36</v>
      </c>
      <c r="AU880" s="247">
        <v>13.3</v>
      </c>
      <c r="AV880" s="247">
        <v>69</v>
      </c>
      <c r="AW880" s="247">
        <v>51</v>
      </c>
      <c r="AX880" s="247">
        <v>279</v>
      </c>
      <c r="AY880" s="247">
        <v>74</v>
      </c>
      <c r="AZ880" s="247" t="s">
        <v>952</v>
      </c>
      <c r="BA880" s="248">
        <v>0</v>
      </c>
      <c r="BB880" s="235">
        <v>161</v>
      </c>
      <c r="BC880" s="247" t="s">
        <v>170</v>
      </c>
      <c r="BD880" s="247">
        <v>1.3</v>
      </c>
      <c r="BE880" s="247">
        <v>1.4</v>
      </c>
      <c r="BF880" s="247">
        <v>2.4</v>
      </c>
      <c r="BG880" s="247">
        <v>4.3</v>
      </c>
      <c r="BH880" s="247">
        <v>6.5</v>
      </c>
      <c r="BI880" s="247">
        <v>11.2</v>
      </c>
      <c r="BJ880" s="247">
        <v>14.6</v>
      </c>
      <c r="BK880" s="247">
        <v>12.9</v>
      </c>
      <c r="BL880" s="247">
        <v>8.4</v>
      </c>
      <c r="BM880" s="247">
        <v>4.8</v>
      </c>
      <c r="BN880" s="247">
        <v>2.5</v>
      </c>
      <c r="BO880" s="247">
        <v>1.5</v>
      </c>
      <c r="BP880" s="248">
        <v>6</v>
      </c>
    </row>
    <row r="881" spans="1:68" ht="14.25" customHeight="1">
      <c r="A881" s="233">
        <v>224</v>
      </c>
      <c r="B881" s="234">
        <v>518</v>
      </c>
      <c r="C881" s="244" t="s">
        <v>960</v>
      </c>
      <c r="D881" s="244" t="s">
        <v>1639</v>
      </c>
      <c r="E881" s="244" t="s">
        <v>1640</v>
      </c>
      <c r="F881" s="245">
        <v>-14.5</v>
      </c>
      <c r="G881" s="245">
        <v>-14.2</v>
      </c>
      <c r="H881" s="245">
        <v>-7.7</v>
      </c>
      <c r="I881" s="245">
        <v>4.5999999999999996</v>
      </c>
      <c r="J881" s="245">
        <v>12.8</v>
      </c>
      <c r="K881" s="245">
        <v>18.399999999999999</v>
      </c>
      <c r="L881" s="245">
        <v>20.399999999999999</v>
      </c>
      <c r="M881" s="245">
        <v>17.8</v>
      </c>
      <c r="N881" s="245">
        <v>12</v>
      </c>
      <c r="O881" s="245">
        <v>3.2</v>
      </c>
      <c r="P881" s="245">
        <v>-6.3</v>
      </c>
      <c r="Q881" s="245">
        <v>-12.3</v>
      </c>
      <c r="R881" s="246">
        <v>2.9</v>
      </c>
      <c r="S881" s="233">
        <v>518</v>
      </c>
      <c r="T881" s="247" t="s">
        <v>1640</v>
      </c>
      <c r="U881" s="245">
        <v>-39</v>
      </c>
      <c r="V881" s="245">
        <v>-37</v>
      </c>
      <c r="W881" s="245">
        <v>-35</v>
      </c>
      <c r="X881" s="245">
        <v>-32</v>
      </c>
      <c r="Y881" s="245">
        <v>-21</v>
      </c>
      <c r="Z881" s="245" t="s">
        <v>931</v>
      </c>
      <c r="AA881" s="245">
        <v>9.3000000000000007</v>
      </c>
      <c r="AB881" s="245">
        <v>161</v>
      </c>
      <c r="AC881" s="245">
        <v>-10.3</v>
      </c>
      <c r="AD881" s="245">
        <v>208</v>
      </c>
      <c r="AE881" s="245">
        <v>-7</v>
      </c>
      <c r="AF881" s="245">
        <v>222</v>
      </c>
      <c r="AG881" s="245">
        <v>-6</v>
      </c>
      <c r="AH881" s="245">
        <v>78</v>
      </c>
      <c r="AI881" s="245" t="s">
        <v>956</v>
      </c>
      <c r="AJ881" s="245">
        <v>92</v>
      </c>
      <c r="AK881" s="245" t="s">
        <v>971</v>
      </c>
      <c r="AL881" s="245">
        <v>5.3</v>
      </c>
      <c r="AM881" s="246">
        <v>4.9000000000000004</v>
      </c>
      <c r="AN881" s="235">
        <v>518</v>
      </c>
      <c r="AO881" s="247" t="s">
        <v>1641</v>
      </c>
      <c r="AP881" s="247" t="s">
        <v>965</v>
      </c>
      <c r="AQ881" s="247">
        <v>25.8</v>
      </c>
      <c r="AR881" s="247">
        <v>29.5</v>
      </c>
      <c r="AS881" s="247">
        <v>26.8</v>
      </c>
      <c r="AT881" s="247">
        <v>39</v>
      </c>
      <c r="AU881" s="247">
        <v>13.2</v>
      </c>
      <c r="AV881" s="247">
        <v>53</v>
      </c>
      <c r="AW881" s="247" t="s">
        <v>931</v>
      </c>
      <c r="AX881" s="247">
        <v>223</v>
      </c>
      <c r="AY881" s="247" t="s">
        <v>965</v>
      </c>
      <c r="AZ881" s="247" t="s">
        <v>1005</v>
      </c>
      <c r="BA881" s="248">
        <v>3.8</v>
      </c>
      <c r="BB881" s="235"/>
      <c r="BC881" s="247" t="s">
        <v>1640</v>
      </c>
      <c r="BD881" s="247"/>
      <c r="BE881" s="247"/>
      <c r="BF881" s="247"/>
      <c r="BG881" s="247"/>
      <c r="BH881" s="247"/>
      <c r="BI881" s="247"/>
      <c r="BJ881" s="247"/>
      <c r="BK881" s="247"/>
      <c r="BL881" s="247"/>
      <c r="BM881" s="247"/>
      <c r="BN881" s="247"/>
      <c r="BO881" s="247"/>
      <c r="BP881" s="248"/>
    </row>
    <row r="882" spans="1:68" ht="14.25" customHeight="1">
      <c r="A882" s="233">
        <v>225</v>
      </c>
      <c r="B882" s="234">
        <v>586</v>
      </c>
      <c r="C882" s="244" t="s">
        <v>1015</v>
      </c>
      <c r="D882" s="244" t="s">
        <v>1642</v>
      </c>
      <c r="E882" s="244" t="s">
        <v>1643</v>
      </c>
      <c r="F882" s="245">
        <v>-8.1999999999999993</v>
      </c>
      <c r="G882" s="245">
        <v>-7.9</v>
      </c>
      <c r="H882" s="245">
        <v>-0.5</v>
      </c>
      <c r="I882" s="245">
        <v>10.3</v>
      </c>
      <c r="J882" s="245">
        <v>18.600000000000001</v>
      </c>
      <c r="K882" s="245">
        <v>24</v>
      </c>
      <c r="L882" s="245">
        <v>27</v>
      </c>
      <c r="M882" s="245">
        <v>24.6</v>
      </c>
      <c r="N882" s="245">
        <v>17.3</v>
      </c>
      <c r="O882" s="245">
        <v>8</v>
      </c>
      <c r="P882" s="245">
        <v>0.7</v>
      </c>
      <c r="Q882" s="245">
        <v>-4.4000000000000004</v>
      </c>
      <c r="R882" s="246">
        <v>9.1</v>
      </c>
      <c r="S882" s="233">
        <v>575</v>
      </c>
      <c r="T882" s="247" t="s">
        <v>1643</v>
      </c>
      <c r="U882" s="245">
        <v>-32</v>
      </c>
      <c r="V882" s="245">
        <v>-29</v>
      </c>
      <c r="W882" s="245">
        <v>-30</v>
      </c>
      <c r="X882" s="245" t="s">
        <v>965</v>
      </c>
      <c r="Y882" s="245">
        <v>-13</v>
      </c>
      <c r="Z882" s="245">
        <v>-40</v>
      </c>
      <c r="AA882" s="245">
        <v>7.8</v>
      </c>
      <c r="AB882" s="245">
        <v>119</v>
      </c>
      <c r="AC882" s="245" t="s">
        <v>958</v>
      </c>
      <c r="AD882" s="245">
        <v>174</v>
      </c>
      <c r="AE882" s="245">
        <v>-2.4</v>
      </c>
      <c r="AF882" s="245" t="s">
        <v>933</v>
      </c>
      <c r="AG882" s="245" t="s">
        <v>931</v>
      </c>
      <c r="AH882" s="245" t="s">
        <v>956</v>
      </c>
      <c r="AI882" s="245" t="s">
        <v>956</v>
      </c>
      <c r="AJ882" s="245" t="s">
        <v>1018</v>
      </c>
      <c r="AK882" s="245" t="s">
        <v>931</v>
      </c>
      <c r="AL882" s="245">
        <v>5</v>
      </c>
      <c r="AM882" s="246" t="s">
        <v>931</v>
      </c>
      <c r="AN882" s="235">
        <v>576</v>
      </c>
      <c r="AO882" s="247" t="s">
        <v>1644</v>
      </c>
      <c r="AP882" s="247">
        <v>1010</v>
      </c>
      <c r="AQ882" s="247">
        <v>33.200000000000003</v>
      </c>
      <c r="AR882" s="247">
        <v>33.700000000000003</v>
      </c>
      <c r="AS882" s="247">
        <v>34.200000000000003</v>
      </c>
      <c r="AT882" s="247">
        <v>46</v>
      </c>
      <c r="AU882" s="247">
        <v>16.5</v>
      </c>
      <c r="AV882" s="247" t="s">
        <v>958</v>
      </c>
      <c r="AW882" s="247" t="s">
        <v>931</v>
      </c>
      <c r="AX882" s="247" t="s">
        <v>931</v>
      </c>
      <c r="AY882" s="247">
        <v>51</v>
      </c>
      <c r="AZ882" s="247" t="s">
        <v>933</v>
      </c>
      <c r="BA882" s="248">
        <v>0</v>
      </c>
      <c r="BB882" s="235"/>
      <c r="BC882" s="247" t="s">
        <v>1643</v>
      </c>
      <c r="BD882" s="247"/>
      <c r="BE882" s="247"/>
      <c r="BF882" s="247"/>
      <c r="BG882" s="247"/>
      <c r="BH882" s="247"/>
      <c r="BI882" s="247"/>
      <c r="BJ882" s="247"/>
      <c r="BK882" s="247"/>
      <c r="BL882" s="247"/>
      <c r="BM882" s="247"/>
      <c r="BN882" s="247"/>
      <c r="BO882" s="247"/>
      <c r="BP882" s="248"/>
    </row>
    <row r="883" spans="1:68" ht="14.25" customHeight="1">
      <c r="A883" s="233">
        <v>226</v>
      </c>
      <c r="B883" s="234">
        <v>539</v>
      </c>
      <c r="C883" s="244" t="s">
        <v>1180</v>
      </c>
      <c r="D883" s="244" t="s">
        <v>1645</v>
      </c>
      <c r="E883" s="244" t="s">
        <v>1646</v>
      </c>
      <c r="F883" s="245">
        <v>-7.1</v>
      </c>
      <c r="G883" s="245">
        <v>-5.5</v>
      </c>
      <c r="H883" s="245">
        <v>-0.1</v>
      </c>
      <c r="I883" s="245">
        <v>7</v>
      </c>
      <c r="J883" s="245">
        <v>11.8</v>
      </c>
      <c r="K883" s="245">
        <v>14.6</v>
      </c>
      <c r="L883" s="245">
        <v>16.899999999999999</v>
      </c>
      <c r="M883" s="245">
        <v>16.2</v>
      </c>
      <c r="N883" s="245">
        <v>12.3</v>
      </c>
      <c r="O883" s="245">
        <v>6.2</v>
      </c>
      <c r="P883" s="245">
        <v>-1.1000000000000001</v>
      </c>
      <c r="Q883" s="245">
        <v>-5.3</v>
      </c>
      <c r="R883" s="246">
        <v>5.5</v>
      </c>
      <c r="S883" s="233">
        <v>539</v>
      </c>
      <c r="T883" s="247" t="s">
        <v>1646</v>
      </c>
      <c r="U883" s="245">
        <v>-18</v>
      </c>
      <c r="V883" s="245">
        <v>-16</v>
      </c>
      <c r="W883" s="245">
        <v>-15</v>
      </c>
      <c r="X883" s="245">
        <v>-13</v>
      </c>
      <c r="Y883" s="245" t="s">
        <v>956</v>
      </c>
      <c r="Z883" s="245" t="s">
        <v>931</v>
      </c>
      <c r="AA883" s="245">
        <v>11</v>
      </c>
      <c r="AB883" s="245" t="s">
        <v>1018</v>
      </c>
      <c r="AC883" s="245" t="s">
        <v>958</v>
      </c>
      <c r="AD883" s="245" t="s">
        <v>1018</v>
      </c>
      <c r="AE883" s="245" t="s">
        <v>931</v>
      </c>
      <c r="AF883" s="245" t="s">
        <v>933</v>
      </c>
      <c r="AG883" s="245" t="s">
        <v>931</v>
      </c>
      <c r="AH883" s="245">
        <v>72</v>
      </c>
      <c r="AI883" s="245">
        <v>64</v>
      </c>
      <c r="AJ883" s="245">
        <v>93</v>
      </c>
      <c r="AK883" s="245" t="s">
        <v>982</v>
      </c>
      <c r="AL883" s="245">
        <v>4.4000000000000004</v>
      </c>
      <c r="AM883" s="246" t="s">
        <v>931</v>
      </c>
      <c r="AN883" s="235">
        <v>539</v>
      </c>
      <c r="AO883" s="247" t="s">
        <v>1647</v>
      </c>
      <c r="AP883" s="247" t="s">
        <v>965</v>
      </c>
      <c r="AQ883" s="247" t="s">
        <v>958</v>
      </c>
      <c r="AR883" s="247" t="s">
        <v>931</v>
      </c>
      <c r="AS883" s="247" t="s">
        <v>958</v>
      </c>
      <c r="AT883" s="247">
        <v>34</v>
      </c>
      <c r="AU883" s="247">
        <v>13.9</v>
      </c>
      <c r="AV883" s="247">
        <v>61</v>
      </c>
      <c r="AW883" s="247">
        <v>45</v>
      </c>
      <c r="AX883" s="247">
        <v>352</v>
      </c>
      <c r="AY883" s="247">
        <v>61</v>
      </c>
      <c r="AZ883" s="247" t="s">
        <v>940</v>
      </c>
      <c r="BA883" s="248">
        <v>1.1000000000000001</v>
      </c>
      <c r="BB883" s="235"/>
      <c r="BC883" s="247" t="s">
        <v>1646</v>
      </c>
      <c r="BD883" s="247"/>
      <c r="BE883" s="247"/>
      <c r="BF883" s="247"/>
      <c r="BG883" s="247"/>
      <c r="BH883" s="247"/>
      <c r="BI883" s="247"/>
      <c r="BJ883" s="247"/>
      <c r="BK883" s="247"/>
      <c r="BL883" s="247"/>
      <c r="BM883" s="247"/>
      <c r="BN883" s="247"/>
      <c r="BO883" s="247"/>
      <c r="BP883" s="248"/>
    </row>
    <row r="884" spans="1:68" ht="14.25" customHeight="1">
      <c r="A884" s="233">
        <v>227</v>
      </c>
      <c r="B884" s="234">
        <v>234</v>
      </c>
      <c r="C884" s="244" t="s">
        <v>928</v>
      </c>
      <c r="D884" s="244" t="s">
        <v>1119</v>
      </c>
      <c r="E884" s="244" t="s">
        <v>1648</v>
      </c>
      <c r="F884" s="245">
        <v>-19.399999999999999</v>
      </c>
      <c r="G884" s="245">
        <v>-18.399999999999999</v>
      </c>
      <c r="H884" s="245">
        <v>-10.6</v>
      </c>
      <c r="I884" s="245">
        <v>2.9</v>
      </c>
      <c r="J884" s="245">
        <v>12.1</v>
      </c>
      <c r="K884" s="245">
        <v>18.2</v>
      </c>
      <c r="L884" s="245">
        <v>20.2</v>
      </c>
      <c r="M884" s="245">
        <v>16.899999999999999</v>
      </c>
      <c r="N884" s="245">
        <v>11.2</v>
      </c>
      <c r="O884" s="245">
        <v>2.2000000000000002</v>
      </c>
      <c r="P884" s="245">
        <v>-8.5</v>
      </c>
      <c r="Q884" s="245">
        <v>-16.2</v>
      </c>
      <c r="R884" s="246">
        <v>0.9</v>
      </c>
      <c r="S884" s="233">
        <v>234</v>
      </c>
      <c r="T884" s="247" t="s">
        <v>1649</v>
      </c>
      <c r="U884" s="245">
        <v>-42</v>
      </c>
      <c r="V884" s="245">
        <v>-41</v>
      </c>
      <c r="W884" s="245">
        <v>-40</v>
      </c>
      <c r="X884" s="245">
        <v>-37</v>
      </c>
      <c r="Y884" s="245">
        <v>-24</v>
      </c>
      <c r="Z884" s="245">
        <v>-46</v>
      </c>
      <c r="AA884" s="245">
        <v>9.5</v>
      </c>
      <c r="AB884" s="245">
        <v>169</v>
      </c>
      <c r="AC884" s="245">
        <v>-12.7</v>
      </c>
      <c r="AD884" s="245">
        <v>218</v>
      </c>
      <c r="AE884" s="245">
        <v>-8.9</v>
      </c>
      <c r="AF884" s="245">
        <v>232</v>
      </c>
      <c r="AG884" s="245">
        <v>-7.8</v>
      </c>
      <c r="AH884" s="245">
        <v>80</v>
      </c>
      <c r="AI884" s="245">
        <v>79</v>
      </c>
      <c r="AJ884" s="245">
        <v>68</v>
      </c>
      <c r="AK884" s="245" t="s">
        <v>971</v>
      </c>
      <c r="AL884" s="245" t="s">
        <v>931</v>
      </c>
      <c r="AM884" s="246" t="s">
        <v>931</v>
      </c>
      <c r="AN884" s="235">
        <v>234</v>
      </c>
      <c r="AO884" s="247" t="s">
        <v>1650</v>
      </c>
      <c r="AP884" s="247">
        <v>995</v>
      </c>
      <c r="AQ884" s="247">
        <v>23.9</v>
      </c>
      <c r="AR884" s="247">
        <v>28</v>
      </c>
      <c r="AS884" s="247">
        <v>26.3</v>
      </c>
      <c r="AT884" s="247">
        <v>40</v>
      </c>
      <c r="AU884" s="247">
        <v>11.9</v>
      </c>
      <c r="AV884" s="247">
        <v>65</v>
      </c>
      <c r="AW884" s="247">
        <v>48</v>
      </c>
      <c r="AX884" s="247">
        <v>245</v>
      </c>
      <c r="AY884" s="247" t="s">
        <v>965</v>
      </c>
      <c r="AZ884" s="247" t="s">
        <v>952</v>
      </c>
      <c r="BA884" s="248" t="s">
        <v>934</v>
      </c>
      <c r="BB884" s="235">
        <v>206</v>
      </c>
      <c r="BC884" s="247" t="s">
        <v>1648</v>
      </c>
      <c r="BD884" s="247">
        <v>1.4</v>
      </c>
      <c r="BE884" s="247">
        <v>1.5</v>
      </c>
      <c r="BF884" s="247">
        <v>2.6</v>
      </c>
      <c r="BG884" s="247">
        <v>5.3</v>
      </c>
      <c r="BH884" s="247">
        <v>7.4</v>
      </c>
      <c r="BI884" s="247">
        <v>11.6</v>
      </c>
      <c r="BJ884" s="247">
        <v>14.7</v>
      </c>
      <c r="BK884" s="247">
        <v>12.7</v>
      </c>
      <c r="BL884" s="247">
        <v>8.6999999999999993</v>
      </c>
      <c r="BM884" s="247">
        <v>5.4</v>
      </c>
      <c r="BN884" s="247">
        <v>3.2</v>
      </c>
      <c r="BO884" s="247">
        <v>2</v>
      </c>
      <c r="BP884" s="248">
        <v>6.4</v>
      </c>
    </row>
    <row r="885" spans="1:68" ht="14.25" customHeight="1">
      <c r="A885" s="233">
        <v>228</v>
      </c>
      <c r="B885" s="234">
        <v>499</v>
      </c>
      <c r="C885" s="244" t="s">
        <v>960</v>
      </c>
      <c r="D885" s="244" t="s">
        <v>961</v>
      </c>
      <c r="E885" s="244" t="s">
        <v>1651</v>
      </c>
      <c r="F885" s="245">
        <v>-13</v>
      </c>
      <c r="G885" s="245">
        <v>-12.3</v>
      </c>
      <c r="H885" s="245">
        <v>-15.4</v>
      </c>
      <c r="I885" s="245">
        <v>8</v>
      </c>
      <c r="J885" s="245">
        <v>16.3</v>
      </c>
      <c r="K885" s="245">
        <v>21.8</v>
      </c>
      <c r="L885" s="245">
        <v>24.2</v>
      </c>
      <c r="M885" s="245">
        <v>22.4</v>
      </c>
      <c r="N885" s="245">
        <v>15.3</v>
      </c>
      <c r="O885" s="245">
        <v>5.6</v>
      </c>
      <c r="P885" s="245">
        <v>-2.2999999999999998</v>
      </c>
      <c r="Q885" s="245">
        <v>-9</v>
      </c>
      <c r="R885" s="246">
        <v>6</v>
      </c>
      <c r="S885" s="233">
        <v>499</v>
      </c>
      <c r="T885" s="247" t="s">
        <v>1651</v>
      </c>
      <c r="U885" s="245">
        <v>-39</v>
      </c>
      <c r="V885" s="245">
        <v>-37</v>
      </c>
      <c r="W885" s="245">
        <v>-35</v>
      </c>
      <c r="X885" s="245">
        <v>-33</v>
      </c>
      <c r="Y885" s="245" t="s">
        <v>956</v>
      </c>
      <c r="Z885" s="245">
        <v>-44</v>
      </c>
      <c r="AA885" s="245">
        <v>8.5</v>
      </c>
      <c r="AB885" s="245">
        <v>144</v>
      </c>
      <c r="AC885" s="245">
        <v>-8.6999999999999993</v>
      </c>
      <c r="AD885" s="245">
        <v>191</v>
      </c>
      <c r="AE885" s="245">
        <v>-5.6</v>
      </c>
      <c r="AF885" s="245">
        <v>202</v>
      </c>
      <c r="AG885" s="245">
        <v>-4.8</v>
      </c>
      <c r="AH885" s="245" t="s">
        <v>956</v>
      </c>
      <c r="AI885" s="245" t="s">
        <v>956</v>
      </c>
      <c r="AJ885" s="245">
        <v>83</v>
      </c>
      <c r="AK885" s="245" t="s">
        <v>990</v>
      </c>
      <c r="AL885" s="245">
        <v>5.3</v>
      </c>
      <c r="AM885" s="246">
        <v>4.2</v>
      </c>
      <c r="AN885" s="235">
        <v>499</v>
      </c>
      <c r="AO885" s="247" t="s">
        <v>1652</v>
      </c>
      <c r="AP885" s="247" t="s">
        <v>965</v>
      </c>
      <c r="AQ885" s="247" t="s">
        <v>958</v>
      </c>
      <c r="AR885" s="247" t="s">
        <v>931</v>
      </c>
      <c r="AS885" s="247">
        <v>31.1</v>
      </c>
      <c r="AT885" s="247">
        <v>42</v>
      </c>
      <c r="AU885" s="247">
        <v>13.3</v>
      </c>
      <c r="AV885" s="247" t="s">
        <v>958</v>
      </c>
      <c r="AW885" s="247" t="s">
        <v>931</v>
      </c>
      <c r="AX885" s="247">
        <v>143</v>
      </c>
      <c r="AY885" s="247" t="s">
        <v>965</v>
      </c>
      <c r="AZ885" s="247" t="s">
        <v>1381</v>
      </c>
      <c r="BA885" s="248">
        <v>3.2</v>
      </c>
      <c r="BB885" s="235"/>
      <c r="BC885" s="247" t="s">
        <v>1651</v>
      </c>
      <c r="BD885" s="247"/>
      <c r="BE885" s="247"/>
      <c r="BF885" s="247"/>
      <c r="BG885" s="247"/>
      <c r="BH885" s="247"/>
      <c r="BI885" s="247"/>
      <c r="BJ885" s="247"/>
      <c r="BK885" s="247"/>
      <c r="BL885" s="247"/>
      <c r="BM885" s="247"/>
      <c r="BN885" s="247"/>
      <c r="BO885" s="247"/>
      <c r="BP885" s="248"/>
    </row>
    <row r="886" spans="1:68" ht="14.25" customHeight="1">
      <c r="A886" s="233">
        <v>229</v>
      </c>
      <c r="B886" s="234">
        <v>519</v>
      </c>
      <c r="C886" s="244" t="s">
        <v>960</v>
      </c>
      <c r="D886" s="244" t="s">
        <v>1639</v>
      </c>
      <c r="E886" s="244" t="s">
        <v>1653</v>
      </c>
      <c r="F886" s="245">
        <v>-13.8</v>
      </c>
      <c r="G886" s="245">
        <v>-13.6</v>
      </c>
      <c r="H886" s="245">
        <v>-7.8</v>
      </c>
      <c r="I886" s="245">
        <v>3.1</v>
      </c>
      <c r="J886" s="245">
        <v>10.8</v>
      </c>
      <c r="K886" s="245">
        <v>16</v>
      </c>
      <c r="L886" s="245">
        <v>18.100000000000001</v>
      </c>
      <c r="M886" s="245">
        <v>15.7</v>
      </c>
      <c r="N886" s="245">
        <v>10.1</v>
      </c>
      <c r="O886" s="245">
        <v>2.2000000000000002</v>
      </c>
      <c r="P886" s="245">
        <v>-6.6</v>
      </c>
      <c r="Q886" s="245">
        <v>-12</v>
      </c>
      <c r="R886" s="246">
        <v>1.9</v>
      </c>
      <c r="S886" s="233">
        <v>519</v>
      </c>
      <c r="T886" s="247" t="s">
        <v>1653</v>
      </c>
      <c r="U886" s="245">
        <v>-38</v>
      </c>
      <c r="V886" s="245">
        <v>-36</v>
      </c>
      <c r="W886" s="245">
        <v>-34</v>
      </c>
      <c r="X886" s="245">
        <v>-31</v>
      </c>
      <c r="Y886" s="245" t="s">
        <v>956</v>
      </c>
      <c r="Z886" s="245">
        <v>-45</v>
      </c>
      <c r="AA886" s="245">
        <v>11.2</v>
      </c>
      <c r="AB886" s="245">
        <v>165</v>
      </c>
      <c r="AC886" s="245">
        <v>-9.9</v>
      </c>
      <c r="AD886" s="245">
        <v>208</v>
      </c>
      <c r="AE886" s="245">
        <v>-7</v>
      </c>
      <c r="AF886" s="245">
        <v>238</v>
      </c>
      <c r="AG886" s="245">
        <v>-5.4</v>
      </c>
      <c r="AH886" s="245">
        <v>79</v>
      </c>
      <c r="AI886" s="245" t="s">
        <v>956</v>
      </c>
      <c r="AJ886" s="245">
        <v>60</v>
      </c>
      <c r="AK886" s="245" t="s">
        <v>963</v>
      </c>
      <c r="AL886" s="245">
        <v>8</v>
      </c>
      <c r="AM886" s="246" t="s">
        <v>931</v>
      </c>
      <c r="AN886" s="235">
        <v>519</v>
      </c>
      <c r="AO886" s="247" t="s">
        <v>1654</v>
      </c>
      <c r="AP886" s="247" t="s">
        <v>965</v>
      </c>
      <c r="AQ886" s="247" t="s">
        <v>958</v>
      </c>
      <c r="AR886" s="247" t="s">
        <v>931</v>
      </c>
      <c r="AS886" s="247">
        <v>25</v>
      </c>
      <c r="AT886" s="247">
        <v>37</v>
      </c>
      <c r="AU886" s="247">
        <v>14.7</v>
      </c>
      <c r="AV886" s="247">
        <v>52</v>
      </c>
      <c r="AW886" s="247" t="s">
        <v>931</v>
      </c>
      <c r="AX886" s="247">
        <v>262</v>
      </c>
      <c r="AY886" s="247" t="s">
        <v>965</v>
      </c>
      <c r="AZ886" s="247" t="s">
        <v>959</v>
      </c>
      <c r="BA886" s="248">
        <v>4.5999999999999996</v>
      </c>
      <c r="BB886" s="235"/>
      <c r="BC886" s="247" t="s">
        <v>1653</v>
      </c>
      <c r="BD886" s="247"/>
      <c r="BE886" s="247"/>
      <c r="BF886" s="247"/>
      <c r="BG886" s="247"/>
      <c r="BH886" s="247"/>
      <c r="BI886" s="247"/>
      <c r="BJ886" s="247"/>
      <c r="BK886" s="247"/>
      <c r="BL886" s="247"/>
      <c r="BM886" s="247"/>
      <c r="BN886" s="247"/>
      <c r="BO886" s="247"/>
      <c r="BP886" s="248"/>
    </row>
    <row r="887" spans="1:68" ht="14.25" customHeight="1">
      <c r="A887" s="233">
        <v>230</v>
      </c>
      <c r="B887" s="234">
        <v>515</v>
      </c>
      <c r="C887" s="244" t="s">
        <v>960</v>
      </c>
      <c r="D887" s="244" t="s">
        <v>1116</v>
      </c>
      <c r="E887" s="244" t="s">
        <v>1655</v>
      </c>
      <c r="F887" s="245">
        <v>-15.2</v>
      </c>
      <c r="G887" s="245">
        <v>-14.5</v>
      </c>
      <c r="H887" s="245">
        <v>-7.4</v>
      </c>
      <c r="I887" s="245">
        <v>6.2</v>
      </c>
      <c r="J887" s="245">
        <v>14.7</v>
      </c>
      <c r="K887" s="245">
        <v>20.7</v>
      </c>
      <c r="L887" s="245">
        <v>23</v>
      </c>
      <c r="M887" s="245">
        <v>20.5</v>
      </c>
      <c r="N887" s="245">
        <v>13.8</v>
      </c>
      <c r="O887" s="245">
        <v>4.4000000000000004</v>
      </c>
      <c r="P887" s="245">
        <v>-4.9000000000000004</v>
      </c>
      <c r="Q887" s="245">
        <v>-11.9</v>
      </c>
      <c r="R887" s="246">
        <v>4.0999999999999996</v>
      </c>
      <c r="S887" s="233">
        <v>515</v>
      </c>
      <c r="T887" s="247" t="s">
        <v>1655</v>
      </c>
      <c r="U887" s="245">
        <v>-39</v>
      </c>
      <c r="V887" s="245">
        <v>-37</v>
      </c>
      <c r="W887" s="245">
        <v>-35</v>
      </c>
      <c r="X887" s="245">
        <v>-32</v>
      </c>
      <c r="Y887" s="245">
        <v>-21</v>
      </c>
      <c r="Z887" s="245" t="s">
        <v>931</v>
      </c>
      <c r="AA887" s="245">
        <v>9</v>
      </c>
      <c r="AB887" s="245">
        <v>154</v>
      </c>
      <c r="AC887" s="245">
        <v>-10.5</v>
      </c>
      <c r="AD887" s="245">
        <v>199</v>
      </c>
      <c r="AE887" s="245">
        <v>-7.2</v>
      </c>
      <c r="AF887" s="245">
        <v>212</v>
      </c>
      <c r="AG887" s="245">
        <v>-6.1</v>
      </c>
      <c r="AH887" s="245">
        <v>80</v>
      </c>
      <c r="AI887" s="245">
        <v>76</v>
      </c>
      <c r="AJ887" s="245">
        <v>68</v>
      </c>
      <c r="AK887" s="245" t="s">
        <v>931</v>
      </c>
      <c r="AL887" s="245" t="s">
        <v>931</v>
      </c>
      <c r="AM887" s="246" t="s">
        <v>931</v>
      </c>
      <c r="AN887" s="235">
        <v>515</v>
      </c>
      <c r="AO887" s="247" t="s">
        <v>1656</v>
      </c>
      <c r="AP887" s="247" t="s">
        <v>965</v>
      </c>
      <c r="AQ887" s="247">
        <v>27.4</v>
      </c>
      <c r="AR887" s="247">
        <v>31.8</v>
      </c>
      <c r="AS887" s="247">
        <v>29.8</v>
      </c>
      <c r="AT887" s="247">
        <v>41</v>
      </c>
      <c r="AU887" s="247">
        <v>14.2</v>
      </c>
      <c r="AV887" s="247">
        <v>42</v>
      </c>
      <c r="AW887" s="247">
        <v>30</v>
      </c>
      <c r="AX887" s="247">
        <v>115</v>
      </c>
      <c r="AY887" s="247" t="s">
        <v>965</v>
      </c>
      <c r="AZ887" s="247" t="s">
        <v>933</v>
      </c>
      <c r="BA887" s="248" t="s">
        <v>934</v>
      </c>
      <c r="BB887" s="235"/>
      <c r="BC887" s="247" t="s">
        <v>1655</v>
      </c>
      <c r="BD887" s="247"/>
      <c r="BE887" s="247"/>
      <c r="BF887" s="247"/>
      <c r="BG887" s="247"/>
      <c r="BH887" s="247"/>
      <c r="BI887" s="247"/>
      <c r="BJ887" s="247"/>
      <c r="BK887" s="247"/>
      <c r="BL887" s="247"/>
      <c r="BM887" s="247"/>
      <c r="BN887" s="247"/>
      <c r="BO887" s="247"/>
      <c r="BP887" s="248"/>
    </row>
    <row r="888" spans="1:68" ht="14.25" customHeight="1">
      <c r="A888" s="233">
        <v>231</v>
      </c>
      <c r="B888" s="234">
        <v>594</v>
      </c>
      <c r="C888" s="244" t="s">
        <v>1015</v>
      </c>
      <c r="D888" s="244" t="s">
        <v>1657</v>
      </c>
      <c r="E888" s="244" t="s">
        <v>1658</v>
      </c>
      <c r="F888" s="245">
        <v>-1.4</v>
      </c>
      <c r="G888" s="245">
        <v>0.9</v>
      </c>
      <c r="H888" s="245">
        <v>6.6</v>
      </c>
      <c r="I888" s="245">
        <v>13.9</v>
      </c>
      <c r="J888" s="245">
        <v>18.8</v>
      </c>
      <c r="K888" s="245">
        <v>22.9</v>
      </c>
      <c r="L888" s="245">
        <v>25.4</v>
      </c>
      <c r="M888" s="245">
        <v>24</v>
      </c>
      <c r="N888" s="245">
        <v>19</v>
      </c>
      <c r="O888" s="245">
        <v>12.6</v>
      </c>
      <c r="P888" s="245">
        <v>5.7</v>
      </c>
      <c r="Q888" s="245">
        <v>0.8</v>
      </c>
      <c r="R888" s="246">
        <v>12.4</v>
      </c>
      <c r="S888" s="233">
        <v>583</v>
      </c>
      <c r="T888" s="247" t="s">
        <v>1658</v>
      </c>
      <c r="U888" s="245">
        <v>-17</v>
      </c>
      <c r="V888" s="245">
        <v>-15</v>
      </c>
      <c r="W888" s="245">
        <v>-14</v>
      </c>
      <c r="X888" s="245" t="s">
        <v>965</v>
      </c>
      <c r="Y888" s="245">
        <v>-4</v>
      </c>
      <c r="Z888" s="245">
        <v>-21</v>
      </c>
      <c r="AA888" s="245">
        <v>8.9</v>
      </c>
      <c r="AB888" s="245">
        <v>48</v>
      </c>
      <c r="AC888" s="245" t="s">
        <v>958</v>
      </c>
      <c r="AD888" s="245">
        <v>138</v>
      </c>
      <c r="AE888" s="245">
        <v>2</v>
      </c>
      <c r="AF888" s="245" t="s">
        <v>933</v>
      </c>
      <c r="AG888" s="245" t="s">
        <v>931</v>
      </c>
      <c r="AH888" s="245" t="s">
        <v>956</v>
      </c>
      <c r="AI888" s="245" t="s">
        <v>956</v>
      </c>
      <c r="AJ888" s="245" t="s">
        <v>1018</v>
      </c>
      <c r="AK888" s="245" t="s">
        <v>931</v>
      </c>
      <c r="AL888" s="245">
        <v>2.6</v>
      </c>
      <c r="AM888" s="246" t="s">
        <v>931</v>
      </c>
      <c r="AN888" s="235">
        <v>584</v>
      </c>
      <c r="AO888" s="247" t="s">
        <v>1659</v>
      </c>
      <c r="AP888" s="247">
        <v>910</v>
      </c>
      <c r="AQ888" s="247">
        <v>32.9</v>
      </c>
      <c r="AR888" s="247">
        <v>36.700000000000003</v>
      </c>
      <c r="AS888" s="247">
        <v>32.799999999999997</v>
      </c>
      <c r="AT888" s="247">
        <v>41</v>
      </c>
      <c r="AU888" s="247">
        <v>13.5</v>
      </c>
      <c r="AV888" s="247" t="s">
        <v>958</v>
      </c>
      <c r="AW888" s="247" t="s">
        <v>931</v>
      </c>
      <c r="AX888" s="247" t="s">
        <v>931</v>
      </c>
      <c r="AY888" s="247">
        <v>76</v>
      </c>
      <c r="AZ888" s="247" t="s">
        <v>933</v>
      </c>
      <c r="BA888" s="248">
        <v>0</v>
      </c>
      <c r="BB888" s="235"/>
      <c r="BC888" s="247" t="s">
        <v>1658</v>
      </c>
      <c r="BD888" s="247"/>
      <c r="BE888" s="247"/>
      <c r="BF888" s="247"/>
      <c r="BG888" s="247"/>
      <c r="BH888" s="247"/>
      <c r="BI888" s="247"/>
      <c r="BJ888" s="247"/>
      <c r="BK888" s="247"/>
      <c r="BL888" s="247"/>
      <c r="BM888" s="247"/>
      <c r="BN888" s="247"/>
      <c r="BO888" s="247"/>
      <c r="BP888" s="248"/>
    </row>
    <row r="889" spans="1:68" ht="14.25" customHeight="1">
      <c r="A889" s="233">
        <v>232</v>
      </c>
      <c r="B889" s="234">
        <v>7</v>
      </c>
      <c r="C889" s="244" t="s">
        <v>928</v>
      </c>
      <c r="D889" s="244" t="s">
        <v>974</v>
      </c>
      <c r="E889" s="244" t="s">
        <v>1660</v>
      </c>
      <c r="F889" s="245">
        <v>-22.8</v>
      </c>
      <c r="G889" s="245">
        <v>-18.8</v>
      </c>
      <c r="H889" s="245">
        <v>-9.1999999999999993</v>
      </c>
      <c r="I889" s="245">
        <v>2.2999999999999998</v>
      </c>
      <c r="J889" s="245">
        <v>9.5</v>
      </c>
      <c r="K889" s="245">
        <v>14.2</v>
      </c>
      <c r="L889" s="245">
        <v>15.5</v>
      </c>
      <c r="M889" s="245">
        <v>13.3</v>
      </c>
      <c r="N889" s="245">
        <v>7.9</v>
      </c>
      <c r="O889" s="245">
        <v>0.2</v>
      </c>
      <c r="P889" s="245">
        <v>-11.4</v>
      </c>
      <c r="Q889" s="245">
        <v>-19.899999999999999</v>
      </c>
      <c r="R889" s="246">
        <v>-1.6</v>
      </c>
      <c r="S889" s="233">
        <v>7</v>
      </c>
      <c r="T889" s="247" t="s">
        <v>1661</v>
      </c>
      <c r="U889" s="245">
        <v>-43</v>
      </c>
      <c r="V889" s="245">
        <v>-42</v>
      </c>
      <c r="W889" s="245">
        <v>-42</v>
      </c>
      <c r="X889" s="245">
        <v>-40</v>
      </c>
      <c r="Y889" s="245">
        <v>-28</v>
      </c>
      <c r="Z889" s="245">
        <v>-48</v>
      </c>
      <c r="AA889" s="245">
        <v>12.3</v>
      </c>
      <c r="AB889" s="245">
        <v>175</v>
      </c>
      <c r="AC889" s="245">
        <v>-14</v>
      </c>
      <c r="AD889" s="245">
        <v>237</v>
      </c>
      <c r="AE889" s="245">
        <v>-9.1999999999999993</v>
      </c>
      <c r="AF889" s="245">
        <v>258</v>
      </c>
      <c r="AG889" s="245">
        <v>-7.8</v>
      </c>
      <c r="AH889" s="245">
        <v>81</v>
      </c>
      <c r="AI889" s="245">
        <v>79</v>
      </c>
      <c r="AJ889" s="245">
        <v>81</v>
      </c>
      <c r="AK889" s="245" t="s">
        <v>996</v>
      </c>
      <c r="AL889" s="245">
        <v>1.8</v>
      </c>
      <c r="AM889" s="246">
        <v>1.7</v>
      </c>
      <c r="AN889" s="235">
        <v>7</v>
      </c>
      <c r="AO889" s="247" t="s">
        <v>1662</v>
      </c>
      <c r="AP889" s="247">
        <v>920</v>
      </c>
      <c r="AQ889" s="247">
        <v>21.4</v>
      </c>
      <c r="AR889" s="247">
        <v>25.6</v>
      </c>
      <c r="AS889" s="247">
        <v>23.8</v>
      </c>
      <c r="AT889" s="247">
        <v>36</v>
      </c>
      <c r="AU889" s="247">
        <v>16</v>
      </c>
      <c r="AV889" s="247">
        <v>73</v>
      </c>
      <c r="AW889" s="247">
        <v>54</v>
      </c>
      <c r="AX889" s="247">
        <v>361</v>
      </c>
      <c r="AY889" s="247">
        <v>35</v>
      </c>
      <c r="AZ889" s="247" t="s">
        <v>1005</v>
      </c>
      <c r="BA889" s="248">
        <v>0</v>
      </c>
      <c r="BB889" s="235">
        <v>10</v>
      </c>
      <c r="BC889" s="247" t="s">
        <v>1660</v>
      </c>
      <c r="BD889" s="247">
        <v>1</v>
      </c>
      <c r="BE889" s="247">
        <v>1.3</v>
      </c>
      <c r="BF889" s="247">
        <v>2.4</v>
      </c>
      <c r="BG889" s="247">
        <v>4.4000000000000004</v>
      </c>
      <c r="BH889" s="247">
        <v>6.6</v>
      </c>
      <c r="BI889" s="247">
        <v>10.199999999999999</v>
      </c>
      <c r="BJ889" s="247">
        <v>12.3</v>
      </c>
      <c r="BK889" s="247">
        <v>10.7</v>
      </c>
      <c r="BL889" s="247">
        <v>7.2</v>
      </c>
      <c r="BM889" s="247">
        <v>4.5999999999999996</v>
      </c>
      <c r="BN889" s="247">
        <v>2.4</v>
      </c>
      <c r="BO889" s="247">
        <v>1.3</v>
      </c>
      <c r="BP889" s="248">
        <v>5.4</v>
      </c>
    </row>
    <row r="890" spans="1:68" ht="14.25" customHeight="1">
      <c r="A890" s="233">
        <v>233</v>
      </c>
      <c r="B890" s="234">
        <v>508</v>
      </c>
      <c r="C890" s="244" t="s">
        <v>960</v>
      </c>
      <c r="D890" s="244" t="s">
        <v>1523</v>
      </c>
      <c r="E890" s="244" t="s">
        <v>1663</v>
      </c>
      <c r="F890" s="245">
        <v>-13.7</v>
      </c>
      <c r="G890" s="245">
        <v>-12.2</v>
      </c>
      <c r="H890" s="245">
        <v>-6.8</v>
      </c>
      <c r="I890" s="245">
        <v>2.7</v>
      </c>
      <c r="J890" s="245">
        <v>10.1</v>
      </c>
      <c r="K890" s="245">
        <v>14.8</v>
      </c>
      <c r="L890" s="245">
        <v>16.5</v>
      </c>
      <c r="M890" s="245">
        <v>14.9</v>
      </c>
      <c r="N890" s="245">
        <v>9.9</v>
      </c>
      <c r="O890" s="245">
        <v>2</v>
      </c>
      <c r="P890" s="245">
        <v>-7.6</v>
      </c>
      <c r="Q890" s="245">
        <v>-12.4</v>
      </c>
      <c r="R890" s="246">
        <v>1.5</v>
      </c>
      <c r="S890" s="233">
        <v>508</v>
      </c>
      <c r="T890" s="247" t="s">
        <v>1663</v>
      </c>
      <c r="U890" s="245">
        <v>-37</v>
      </c>
      <c r="V890" s="245">
        <v>-35</v>
      </c>
      <c r="W890" s="245">
        <v>-31</v>
      </c>
      <c r="X890" s="245">
        <v>-29</v>
      </c>
      <c r="Y890" s="245" t="s">
        <v>956</v>
      </c>
      <c r="Z890" s="245" t="s">
        <v>931</v>
      </c>
      <c r="AA890" s="245">
        <v>9.9</v>
      </c>
      <c r="AB890" s="245">
        <v>167</v>
      </c>
      <c r="AC890" s="245">
        <v>-9.6</v>
      </c>
      <c r="AD890" s="245">
        <v>225</v>
      </c>
      <c r="AE890" s="245">
        <v>-6</v>
      </c>
      <c r="AF890" s="245">
        <v>244</v>
      </c>
      <c r="AG890" s="245">
        <v>-4.8</v>
      </c>
      <c r="AH890" s="245">
        <v>65</v>
      </c>
      <c r="AI890" s="245" t="s">
        <v>956</v>
      </c>
      <c r="AJ890" s="245">
        <v>97</v>
      </c>
      <c r="AK890" s="245" t="s">
        <v>931</v>
      </c>
      <c r="AL890" s="245" t="s">
        <v>931</v>
      </c>
      <c r="AM890" s="246" t="s">
        <v>931</v>
      </c>
      <c r="AN890" s="235">
        <v>508</v>
      </c>
      <c r="AO890" s="247" t="s">
        <v>1664</v>
      </c>
      <c r="AP890" s="247" t="s">
        <v>965</v>
      </c>
      <c r="AQ890" s="247" t="s">
        <v>958</v>
      </c>
      <c r="AR890" s="247" t="s">
        <v>931</v>
      </c>
      <c r="AS890" s="247">
        <v>23.1</v>
      </c>
      <c r="AT890" s="247">
        <v>36</v>
      </c>
      <c r="AU890" s="247">
        <v>12.8</v>
      </c>
      <c r="AV890" s="247">
        <v>67</v>
      </c>
      <c r="AW890" s="247" t="s">
        <v>931</v>
      </c>
      <c r="AX890" s="247">
        <v>360</v>
      </c>
      <c r="AY890" s="247" t="s">
        <v>965</v>
      </c>
      <c r="AZ890" s="247" t="s">
        <v>933</v>
      </c>
      <c r="BA890" s="248" t="s">
        <v>934</v>
      </c>
      <c r="BB890" s="235"/>
      <c r="BC890" s="247" t="s">
        <v>1663</v>
      </c>
      <c r="BD890" s="247"/>
      <c r="BE890" s="247"/>
      <c r="BF890" s="247"/>
      <c r="BG890" s="247"/>
      <c r="BH890" s="247"/>
      <c r="BI890" s="247"/>
      <c r="BJ890" s="247"/>
      <c r="BK890" s="247"/>
      <c r="BL890" s="247"/>
      <c r="BM890" s="247"/>
      <c r="BN890" s="247"/>
      <c r="BO890" s="247"/>
      <c r="BP890" s="248"/>
    </row>
    <row r="891" spans="1:68" ht="14.25" customHeight="1">
      <c r="A891" s="233">
        <v>234</v>
      </c>
      <c r="B891" s="234">
        <v>596</v>
      </c>
      <c r="C891" s="244" t="s">
        <v>1015</v>
      </c>
      <c r="D891" s="244" t="s">
        <v>1665</v>
      </c>
      <c r="E891" s="244" t="s">
        <v>1666</v>
      </c>
      <c r="F891" s="245">
        <v>-0.2</v>
      </c>
      <c r="G891" s="245">
        <v>2.2999999999999998</v>
      </c>
      <c r="H891" s="245">
        <v>7.5</v>
      </c>
      <c r="I891" s="245">
        <v>14.4</v>
      </c>
      <c r="J891" s="245">
        <v>20.399999999999999</v>
      </c>
      <c r="K891" s="245">
        <v>25.5</v>
      </c>
      <c r="L891" s="245">
        <v>27.9</v>
      </c>
      <c r="M891" s="245">
        <v>25.8</v>
      </c>
      <c r="N891" s="245">
        <v>20</v>
      </c>
      <c r="O891" s="245">
        <v>12.7</v>
      </c>
      <c r="P891" s="245">
        <v>6.2</v>
      </c>
      <c r="Q891" s="245">
        <v>1.8</v>
      </c>
      <c r="R891" s="246">
        <v>13.7</v>
      </c>
      <c r="S891" s="233">
        <v>585</v>
      </c>
      <c r="T891" s="247" t="s">
        <v>1666</v>
      </c>
      <c r="U891" s="245">
        <v>-19</v>
      </c>
      <c r="V891" s="245">
        <v>-16</v>
      </c>
      <c r="W891" s="245">
        <v>-16</v>
      </c>
      <c r="X891" s="245" t="s">
        <v>965</v>
      </c>
      <c r="Y891" s="245">
        <v>-3</v>
      </c>
      <c r="Z891" s="245">
        <v>-30</v>
      </c>
      <c r="AA891" s="245">
        <v>8.6</v>
      </c>
      <c r="AB891" s="245">
        <v>23</v>
      </c>
      <c r="AC891" s="245" t="s">
        <v>958</v>
      </c>
      <c r="AD891" s="245">
        <v>134</v>
      </c>
      <c r="AE891" s="245">
        <v>2.8</v>
      </c>
      <c r="AF891" s="245" t="s">
        <v>933</v>
      </c>
      <c r="AG891" s="245" t="s">
        <v>931</v>
      </c>
      <c r="AH891" s="245" t="s">
        <v>956</v>
      </c>
      <c r="AI891" s="245" t="s">
        <v>956</v>
      </c>
      <c r="AJ891" s="245" t="s">
        <v>1018</v>
      </c>
      <c r="AK891" s="245" t="s">
        <v>931</v>
      </c>
      <c r="AL891" s="245">
        <v>3.7</v>
      </c>
      <c r="AM891" s="246" t="s">
        <v>931</v>
      </c>
      <c r="AN891" s="235">
        <v>586</v>
      </c>
      <c r="AO891" s="247" t="s">
        <v>1667</v>
      </c>
      <c r="AP891" s="247">
        <v>950</v>
      </c>
      <c r="AQ891" s="247">
        <v>33.1</v>
      </c>
      <c r="AR891" s="247">
        <v>37.200000000000003</v>
      </c>
      <c r="AS891" s="247">
        <v>35.799999999999997</v>
      </c>
      <c r="AT891" s="247">
        <v>44</v>
      </c>
      <c r="AU891" s="247">
        <v>15.6</v>
      </c>
      <c r="AV891" s="247" t="s">
        <v>958</v>
      </c>
      <c r="AW891" s="247" t="s">
        <v>931</v>
      </c>
      <c r="AX891" s="247" t="s">
        <v>931</v>
      </c>
      <c r="AY891" s="247" t="s">
        <v>965</v>
      </c>
      <c r="AZ891" s="247" t="s">
        <v>933</v>
      </c>
      <c r="BA891" s="248">
        <v>0</v>
      </c>
      <c r="BB891" s="235"/>
      <c r="BC891" s="247" t="s">
        <v>1666</v>
      </c>
      <c r="BD891" s="247"/>
      <c r="BE891" s="247"/>
      <c r="BF891" s="247"/>
      <c r="BG891" s="247"/>
      <c r="BH891" s="247"/>
      <c r="BI891" s="247"/>
      <c r="BJ891" s="247"/>
      <c r="BK891" s="247"/>
      <c r="BL891" s="247"/>
      <c r="BM891" s="247"/>
      <c r="BN891" s="247"/>
      <c r="BO891" s="247"/>
      <c r="BP891" s="248"/>
    </row>
    <row r="892" spans="1:68" ht="14.25" customHeight="1">
      <c r="A892" s="233">
        <v>235</v>
      </c>
      <c r="B892" s="234">
        <v>464</v>
      </c>
      <c r="C892" s="244" t="s">
        <v>1253</v>
      </c>
      <c r="D892" s="244" t="s">
        <v>1253</v>
      </c>
      <c r="E892" s="244" t="s">
        <v>1668</v>
      </c>
      <c r="F892" s="245">
        <v>0.8</v>
      </c>
      <c r="G892" s="245">
        <v>2</v>
      </c>
      <c r="H892" s="245">
        <v>5.2</v>
      </c>
      <c r="I892" s="245">
        <v>11.4</v>
      </c>
      <c r="J892" s="245">
        <v>16.2</v>
      </c>
      <c r="K892" s="245">
        <v>20</v>
      </c>
      <c r="L892" s="245">
        <v>23.3</v>
      </c>
      <c r="M892" s="245">
        <v>22.8</v>
      </c>
      <c r="N892" s="245">
        <v>18.600000000000001</v>
      </c>
      <c r="O892" s="245">
        <v>12.8</v>
      </c>
      <c r="P892" s="245">
        <v>7.2</v>
      </c>
      <c r="Q892" s="245">
        <v>2.4</v>
      </c>
      <c r="R892" s="246">
        <v>11.9</v>
      </c>
      <c r="S892" s="233">
        <v>464</v>
      </c>
      <c r="T892" s="247" t="s">
        <v>1669</v>
      </c>
      <c r="U892" s="245">
        <v>-14</v>
      </c>
      <c r="V892" s="245">
        <v>-12</v>
      </c>
      <c r="W892" s="245">
        <v>-11</v>
      </c>
      <c r="X892" s="245">
        <v>-9</v>
      </c>
      <c r="Y892" s="245" t="s">
        <v>956</v>
      </c>
      <c r="Z892" s="245">
        <v>-22</v>
      </c>
      <c r="AA892" s="245" t="s">
        <v>956</v>
      </c>
      <c r="AB892" s="245">
        <v>0</v>
      </c>
      <c r="AC892" s="245" t="s">
        <v>830</v>
      </c>
      <c r="AD892" s="245">
        <v>140</v>
      </c>
      <c r="AE892" s="245">
        <v>3.1</v>
      </c>
      <c r="AF892" s="245">
        <v>159</v>
      </c>
      <c r="AG892" s="245">
        <v>3.8</v>
      </c>
      <c r="AH892" s="245">
        <v>73</v>
      </c>
      <c r="AI892" s="245">
        <v>53</v>
      </c>
      <c r="AJ892" s="245">
        <v>188</v>
      </c>
      <c r="AK892" s="245" t="s">
        <v>982</v>
      </c>
      <c r="AL892" s="245" t="s">
        <v>931</v>
      </c>
      <c r="AM892" s="246" t="s">
        <v>931</v>
      </c>
      <c r="AN892" s="235">
        <v>464</v>
      </c>
      <c r="AO892" s="247" t="s">
        <v>1670</v>
      </c>
      <c r="AP892" s="247">
        <v>935</v>
      </c>
      <c r="AQ892" s="247" t="s">
        <v>958</v>
      </c>
      <c r="AR892" s="247" t="s">
        <v>931</v>
      </c>
      <c r="AS892" s="247">
        <v>29.7</v>
      </c>
      <c r="AT892" s="247">
        <v>42</v>
      </c>
      <c r="AU892" s="247" t="s">
        <v>934</v>
      </c>
      <c r="AV892" s="247">
        <v>60</v>
      </c>
      <c r="AW892" s="247">
        <v>41</v>
      </c>
      <c r="AX892" s="247">
        <v>397</v>
      </c>
      <c r="AY892" s="247">
        <v>76</v>
      </c>
      <c r="AZ892" s="247" t="s">
        <v>946</v>
      </c>
      <c r="BA892" s="248">
        <v>0</v>
      </c>
      <c r="BB892" s="235"/>
      <c r="BC892" s="247" t="s">
        <v>1669</v>
      </c>
      <c r="BD892" s="247"/>
      <c r="BE892" s="247"/>
      <c r="BF892" s="247"/>
      <c r="BG892" s="247"/>
      <c r="BH892" s="247"/>
      <c r="BI892" s="247"/>
      <c r="BJ892" s="247"/>
      <c r="BK892" s="247"/>
      <c r="BL892" s="247"/>
      <c r="BM892" s="247"/>
      <c r="BN892" s="247"/>
      <c r="BO892" s="247"/>
      <c r="BP892" s="248"/>
    </row>
    <row r="893" spans="1:68" ht="14.25" customHeight="1">
      <c r="A893" s="233">
        <v>236</v>
      </c>
      <c r="B893" s="234">
        <v>211</v>
      </c>
      <c r="C893" s="244" t="s">
        <v>928</v>
      </c>
      <c r="D893" s="244" t="s">
        <v>1451</v>
      </c>
      <c r="E893" s="244" t="s">
        <v>1671</v>
      </c>
      <c r="F893" s="245">
        <v>-10.9</v>
      </c>
      <c r="G893" s="245">
        <v>-9.8000000000000007</v>
      </c>
      <c r="H893" s="245">
        <v>-4.5999999999999996</v>
      </c>
      <c r="I893" s="245">
        <v>4.5999999999999996</v>
      </c>
      <c r="J893" s="245">
        <v>12.2</v>
      </c>
      <c r="K893" s="245">
        <v>16.3</v>
      </c>
      <c r="L893" s="245">
        <v>17.8</v>
      </c>
      <c r="M893" s="245">
        <v>16.5</v>
      </c>
      <c r="N893" s="245">
        <v>11</v>
      </c>
      <c r="O893" s="245">
        <v>4.0999999999999996</v>
      </c>
      <c r="P893" s="245">
        <v>-2.2999999999999998</v>
      </c>
      <c r="Q893" s="245">
        <v>-7</v>
      </c>
      <c r="R893" s="246">
        <v>4</v>
      </c>
      <c r="S893" s="233">
        <v>211</v>
      </c>
      <c r="T893" s="247" t="s">
        <v>1672</v>
      </c>
      <c r="U893" s="245">
        <v>-36</v>
      </c>
      <c r="V893" s="245">
        <v>-32</v>
      </c>
      <c r="W893" s="245">
        <v>-31</v>
      </c>
      <c r="X893" s="245">
        <v>-27</v>
      </c>
      <c r="Y893" s="245">
        <v>-16</v>
      </c>
      <c r="Z893" s="245">
        <v>-44</v>
      </c>
      <c r="AA893" s="245">
        <v>6.3</v>
      </c>
      <c r="AB893" s="245">
        <v>147</v>
      </c>
      <c r="AC893" s="245">
        <v>-6.7</v>
      </c>
      <c r="AD893" s="245">
        <v>212</v>
      </c>
      <c r="AE893" s="245">
        <v>-3.4</v>
      </c>
      <c r="AF893" s="245">
        <v>229</v>
      </c>
      <c r="AG893" s="245">
        <v>-2.5</v>
      </c>
      <c r="AH893" s="245">
        <v>85</v>
      </c>
      <c r="AI893" s="245">
        <v>85</v>
      </c>
      <c r="AJ893" s="245">
        <v>167</v>
      </c>
      <c r="AK893" s="245" t="s">
        <v>950</v>
      </c>
      <c r="AL893" s="245" t="s">
        <v>931</v>
      </c>
      <c r="AM893" s="246">
        <v>5</v>
      </c>
      <c r="AN893" s="235">
        <v>211</v>
      </c>
      <c r="AO893" s="247" t="s">
        <v>1673</v>
      </c>
      <c r="AP893" s="247">
        <v>995</v>
      </c>
      <c r="AQ893" s="247">
        <v>20.7</v>
      </c>
      <c r="AR893" s="247">
        <v>24.9</v>
      </c>
      <c r="AS893" s="247">
        <v>23.1</v>
      </c>
      <c r="AT893" s="247">
        <v>39</v>
      </c>
      <c r="AU893" s="247">
        <v>9.6</v>
      </c>
      <c r="AV893" s="247">
        <v>72</v>
      </c>
      <c r="AW893" s="247">
        <v>57</v>
      </c>
      <c r="AX893" s="247">
        <v>393</v>
      </c>
      <c r="AY893" s="247">
        <v>59</v>
      </c>
      <c r="AZ893" s="247" t="s">
        <v>952</v>
      </c>
      <c r="BA893" s="248" t="s">
        <v>934</v>
      </c>
      <c r="BB893" s="235">
        <v>186</v>
      </c>
      <c r="BC893" s="247" t="s">
        <v>1671</v>
      </c>
      <c r="BD893" s="247">
        <v>2.7</v>
      </c>
      <c r="BE893" s="247">
        <v>2.8</v>
      </c>
      <c r="BF893" s="247">
        <v>3.8</v>
      </c>
      <c r="BG893" s="247">
        <v>6.5</v>
      </c>
      <c r="BH893" s="247">
        <v>9.1999999999999993</v>
      </c>
      <c r="BI893" s="247">
        <v>12.4</v>
      </c>
      <c r="BJ893" s="247">
        <v>14.7</v>
      </c>
      <c r="BK893" s="247">
        <v>14</v>
      </c>
      <c r="BL893" s="247">
        <v>10.3</v>
      </c>
      <c r="BM893" s="247">
        <v>6.9</v>
      </c>
      <c r="BN893" s="247">
        <v>5</v>
      </c>
      <c r="BO893" s="247">
        <v>3.6</v>
      </c>
      <c r="BP893" s="248">
        <v>7.7</v>
      </c>
    </row>
    <row r="894" spans="1:68" ht="14.25" customHeight="1">
      <c r="A894" s="233">
        <v>237</v>
      </c>
      <c r="B894" s="234">
        <v>184</v>
      </c>
      <c r="C894" s="244" t="s">
        <v>928</v>
      </c>
      <c r="D894" s="244" t="s">
        <v>935</v>
      </c>
      <c r="E894" s="244" t="s">
        <v>1674</v>
      </c>
      <c r="F894" s="245">
        <v>-27.4</v>
      </c>
      <c r="G894" s="245">
        <v>-25.1</v>
      </c>
      <c r="H894" s="245">
        <v>-14.1</v>
      </c>
      <c r="I894" s="245">
        <v>-2.2000000000000002</v>
      </c>
      <c r="J894" s="245">
        <v>6.3</v>
      </c>
      <c r="K894" s="245">
        <v>14.9</v>
      </c>
      <c r="L894" s="245">
        <v>18.100000000000001</v>
      </c>
      <c r="M894" s="245">
        <v>14.2</v>
      </c>
      <c r="N894" s="245">
        <v>7.1</v>
      </c>
      <c r="O894" s="245">
        <v>-1.9</v>
      </c>
      <c r="P894" s="245">
        <v>-15.8</v>
      </c>
      <c r="Q894" s="245">
        <v>-25.7</v>
      </c>
      <c r="R894" s="246">
        <v>-4.3</v>
      </c>
      <c r="S894" s="233">
        <v>184</v>
      </c>
      <c r="T894" s="247" t="s">
        <v>1675</v>
      </c>
      <c r="U894" s="245">
        <v>-54</v>
      </c>
      <c r="V894" s="245">
        <v>-52</v>
      </c>
      <c r="W894" s="245">
        <v>-51</v>
      </c>
      <c r="X894" s="245">
        <v>-48</v>
      </c>
      <c r="Y894" s="245">
        <v>-32</v>
      </c>
      <c r="Z894" s="245">
        <v>-60</v>
      </c>
      <c r="AA894" s="245">
        <v>11.9</v>
      </c>
      <c r="AB894" s="245">
        <v>196</v>
      </c>
      <c r="AC894" s="245">
        <v>-17</v>
      </c>
      <c r="AD894" s="245">
        <v>252</v>
      </c>
      <c r="AE894" s="245">
        <v>-12.3</v>
      </c>
      <c r="AF894" s="245">
        <v>268</v>
      </c>
      <c r="AG894" s="245">
        <v>-11.1</v>
      </c>
      <c r="AH894" s="245">
        <v>78</v>
      </c>
      <c r="AI894" s="245">
        <v>77</v>
      </c>
      <c r="AJ894" s="245">
        <v>79</v>
      </c>
      <c r="AK894" s="245" t="s">
        <v>971</v>
      </c>
      <c r="AL894" s="245">
        <v>4.5</v>
      </c>
      <c r="AM894" s="246">
        <v>2.7</v>
      </c>
      <c r="AN894" s="235">
        <v>184</v>
      </c>
      <c r="AO894" s="247" t="s">
        <v>1676</v>
      </c>
      <c r="AP894" s="247">
        <v>985</v>
      </c>
      <c r="AQ894" s="247">
        <v>22.5</v>
      </c>
      <c r="AR894" s="247">
        <v>26.6</v>
      </c>
      <c r="AS894" s="247">
        <v>24.9</v>
      </c>
      <c r="AT894" s="247">
        <v>36</v>
      </c>
      <c r="AU894" s="247">
        <v>13.9</v>
      </c>
      <c r="AV894" s="247">
        <v>69</v>
      </c>
      <c r="AW894" s="247">
        <v>53</v>
      </c>
      <c r="AX894" s="247">
        <v>245</v>
      </c>
      <c r="AY894" s="247">
        <v>64</v>
      </c>
      <c r="AZ894" s="247" t="s">
        <v>978</v>
      </c>
      <c r="BA894" s="248">
        <v>0</v>
      </c>
      <c r="BB894" s="235">
        <v>162</v>
      </c>
      <c r="BC894" s="247" t="s">
        <v>1674</v>
      </c>
      <c r="BD894" s="247">
        <v>0.8</v>
      </c>
      <c r="BE894" s="247">
        <v>0.9</v>
      </c>
      <c r="BF894" s="247">
        <v>1.7</v>
      </c>
      <c r="BG894" s="247">
        <v>3.4</v>
      </c>
      <c r="BH894" s="247">
        <v>5.6</v>
      </c>
      <c r="BI894" s="247">
        <v>10.3</v>
      </c>
      <c r="BJ894" s="247">
        <v>14.1</v>
      </c>
      <c r="BK894" s="247">
        <v>12.3</v>
      </c>
      <c r="BL894" s="247">
        <v>7.9</v>
      </c>
      <c r="BM894" s="247">
        <v>4.3</v>
      </c>
      <c r="BN894" s="247">
        <v>2</v>
      </c>
      <c r="BO894" s="247">
        <v>1</v>
      </c>
      <c r="BP894" s="248">
        <v>5.4</v>
      </c>
    </row>
    <row r="895" spans="1:68" ht="14.25" customHeight="1">
      <c r="A895" s="233">
        <v>238</v>
      </c>
      <c r="B895" s="234">
        <v>139</v>
      </c>
      <c r="C895" s="244" t="s">
        <v>928</v>
      </c>
      <c r="D895" s="244" t="s">
        <v>1677</v>
      </c>
      <c r="E895" s="244" t="s">
        <v>172</v>
      </c>
      <c r="F895" s="245">
        <v>-18.8</v>
      </c>
      <c r="G895" s="245">
        <v>-16.899999999999999</v>
      </c>
      <c r="H895" s="245">
        <v>-9.8000000000000007</v>
      </c>
      <c r="I895" s="245">
        <v>1</v>
      </c>
      <c r="J895" s="245">
        <v>9.6999999999999993</v>
      </c>
      <c r="K895" s="245">
        <v>16.3</v>
      </c>
      <c r="L895" s="245">
        <v>18.8</v>
      </c>
      <c r="M895" s="245">
        <v>15.4</v>
      </c>
      <c r="N895" s="245">
        <v>9.5</v>
      </c>
      <c r="O895" s="245">
        <v>1.3</v>
      </c>
      <c r="P895" s="245">
        <v>-9.6</v>
      </c>
      <c r="Q895" s="245">
        <v>-16.899999999999999</v>
      </c>
      <c r="R895" s="246">
        <v>0</v>
      </c>
      <c r="S895" s="233">
        <v>139</v>
      </c>
      <c r="T895" s="247" t="s">
        <v>1678</v>
      </c>
      <c r="U895" s="245">
        <v>-46</v>
      </c>
      <c r="V895" s="245">
        <v>-42</v>
      </c>
      <c r="W895" s="245">
        <v>-42</v>
      </c>
      <c r="X895" s="245">
        <v>-39</v>
      </c>
      <c r="Y895" s="245">
        <v>-24</v>
      </c>
      <c r="Z895" s="245">
        <v>-50</v>
      </c>
      <c r="AA895" s="245">
        <v>9.8000000000000007</v>
      </c>
      <c r="AB895" s="245">
        <v>175</v>
      </c>
      <c r="AC895" s="245">
        <v>-12.2</v>
      </c>
      <c r="AD895" s="245">
        <v>231</v>
      </c>
      <c r="AE895" s="245">
        <v>-8.3000000000000007</v>
      </c>
      <c r="AF895" s="245">
        <v>246</v>
      </c>
      <c r="AG895" s="245">
        <v>-7.2</v>
      </c>
      <c r="AH895" s="245">
        <v>82</v>
      </c>
      <c r="AI895" s="245">
        <v>81</v>
      </c>
      <c r="AJ895" s="245">
        <v>94</v>
      </c>
      <c r="AK895" s="245" t="s">
        <v>963</v>
      </c>
      <c r="AL895" s="245">
        <v>6.8</v>
      </c>
      <c r="AM895" s="246">
        <v>4.9000000000000004</v>
      </c>
      <c r="AN895" s="235">
        <v>139</v>
      </c>
      <c r="AO895" s="247" t="s">
        <v>1679</v>
      </c>
      <c r="AP895" s="247">
        <v>990</v>
      </c>
      <c r="AQ895" s="247">
        <v>22.7</v>
      </c>
      <c r="AR895" s="247">
        <v>26.8</v>
      </c>
      <c r="AS895" s="247">
        <v>25.1</v>
      </c>
      <c r="AT895" s="247">
        <v>37</v>
      </c>
      <c r="AU895" s="247">
        <v>12.9</v>
      </c>
      <c r="AV895" s="247">
        <v>73</v>
      </c>
      <c r="AW895" s="247">
        <v>56</v>
      </c>
      <c r="AX895" s="247">
        <v>335</v>
      </c>
      <c r="AY895" s="247">
        <v>46</v>
      </c>
      <c r="AZ895" s="247" t="s">
        <v>978</v>
      </c>
      <c r="BA895" s="248">
        <v>0</v>
      </c>
      <c r="BB895" s="235">
        <v>122</v>
      </c>
      <c r="BC895" s="247" t="s">
        <v>172</v>
      </c>
      <c r="BD895" s="247">
        <v>1.4</v>
      </c>
      <c r="BE895" s="247">
        <v>1.6</v>
      </c>
      <c r="BF895" s="247">
        <v>2.6</v>
      </c>
      <c r="BG895" s="247">
        <v>4.9000000000000004</v>
      </c>
      <c r="BH895" s="247">
        <v>7.2</v>
      </c>
      <c r="BI895" s="247">
        <v>12</v>
      </c>
      <c r="BJ895" s="247">
        <v>15.2</v>
      </c>
      <c r="BK895" s="247">
        <v>13.2</v>
      </c>
      <c r="BL895" s="247">
        <v>9</v>
      </c>
      <c r="BM895" s="247">
        <v>5.4</v>
      </c>
      <c r="BN895" s="247">
        <v>2.9</v>
      </c>
      <c r="BO895" s="247">
        <v>1.8</v>
      </c>
      <c r="BP895" s="248">
        <v>6.4</v>
      </c>
    </row>
    <row r="896" spans="1:68" ht="14.25" customHeight="1">
      <c r="A896" s="233">
        <v>239</v>
      </c>
      <c r="B896" s="234">
        <v>132</v>
      </c>
      <c r="C896" s="244" t="s">
        <v>928</v>
      </c>
      <c r="D896" s="244" t="s">
        <v>1680</v>
      </c>
      <c r="E896" s="244" t="s">
        <v>1681</v>
      </c>
      <c r="F896" s="245">
        <v>-10.6</v>
      </c>
      <c r="G896" s="245">
        <v>-10.8</v>
      </c>
      <c r="H896" s="245">
        <v>-6.9</v>
      </c>
      <c r="I896" s="245">
        <v>-1</v>
      </c>
      <c r="J896" s="245">
        <v>4.5</v>
      </c>
      <c r="K896" s="245">
        <v>10.5</v>
      </c>
      <c r="L896" s="245">
        <v>13.8</v>
      </c>
      <c r="M896" s="245">
        <v>13.1</v>
      </c>
      <c r="N896" s="245">
        <v>8.4</v>
      </c>
      <c r="O896" s="245">
        <v>2.2000000000000002</v>
      </c>
      <c r="P896" s="245">
        <v>-2.8</v>
      </c>
      <c r="Q896" s="245">
        <v>-7.1</v>
      </c>
      <c r="R896" s="246">
        <v>1.1000000000000001</v>
      </c>
      <c r="S896" s="233">
        <v>132</v>
      </c>
      <c r="T896" s="247" t="s">
        <v>1682</v>
      </c>
      <c r="U896" s="245">
        <v>-35</v>
      </c>
      <c r="V896" s="245">
        <v>-32</v>
      </c>
      <c r="W896" s="245">
        <v>-29</v>
      </c>
      <c r="X896" s="245">
        <v>-27</v>
      </c>
      <c r="Y896" s="245">
        <v>-16</v>
      </c>
      <c r="Z896" s="245">
        <v>-40</v>
      </c>
      <c r="AA896" s="245">
        <v>7.1</v>
      </c>
      <c r="AB896" s="245">
        <v>174</v>
      </c>
      <c r="AC896" s="245">
        <v>-6.6</v>
      </c>
      <c r="AD896" s="245">
        <v>258</v>
      </c>
      <c r="AE896" s="245">
        <v>-3.2</v>
      </c>
      <c r="AF896" s="245">
        <v>281</v>
      </c>
      <c r="AG896" s="245">
        <v>-2.2000000000000002</v>
      </c>
      <c r="AH896" s="245">
        <v>86</v>
      </c>
      <c r="AI896" s="245">
        <v>81</v>
      </c>
      <c r="AJ896" s="245">
        <v>116</v>
      </c>
      <c r="AK896" s="245" t="s">
        <v>950</v>
      </c>
      <c r="AL896" s="245">
        <v>5.7</v>
      </c>
      <c r="AM896" s="246">
        <v>5.0999999999999996</v>
      </c>
      <c r="AN896" s="235">
        <v>132</v>
      </c>
      <c r="AO896" s="247" t="s">
        <v>1683</v>
      </c>
      <c r="AP896" s="247">
        <v>1010</v>
      </c>
      <c r="AQ896" s="247">
        <v>16.8</v>
      </c>
      <c r="AR896" s="247">
        <v>21.9</v>
      </c>
      <c r="AS896" s="247">
        <v>17.8</v>
      </c>
      <c r="AT896" s="247">
        <v>32</v>
      </c>
      <c r="AU896" s="247">
        <v>7.3</v>
      </c>
      <c r="AV896" s="247">
        <v>77</v>
      </c>
      <c r="AW896" s="247">
        <v>69</v>
      </c>
      <c r="AX896" s="247">
        <v>332</v>
      </c>
      <c r="AY896" s="247">
        <v>40</v>
      </c>
      <c r="AZ896" s="247" t="s">
        <v>1005</v>
      </c>
      <c r="BA896" s="248">
        <v>4.0999999999999996</v>
      </c>
      <c r="BB896" s="235">
        <v>115</v>
      </c>
      <c r="BC896" s="247" t="s">
        <v>1681</v>
      </c>
      <c r="BD896" s="247">
        <v>2.6</v>
      </c>
      <c r="BE896" s="247">
        <v>2.6</v>
      </c>
      <c r="BF896" s="247">
        <v>3.2</v>
      </c>
      <c r="BG896" s="247">
        <v>4.5999999999999996</v>
      </c>
      <c r="BH896" s="247">
        <v>6.3</v>
      </c>
      <c r="BI896" s="247">
        <v>9.6</v>
      </c>
      <c r="BJ896" s="247">
        <v>12.4</v>
      </c>
      <c r="BK896" s="247">
        <v>12.4</v>
      </c>
      <c r="BL896" s="247">
        <v>93</v>
      </c>
      <c r="BM896" s="247">
        <v>63</v>
      </c>
      <c r="BN896" s="247">
        <v>4.5999999999999996</v>
      </c>
      <c r="BO896" s="247">
        <v>3.4</v>
      </c>
      <c r="BP896" s="248">
        <v>6.4</v>
      </c>
    </row>
    <row r="897" spans="1:68" ht="14.25" customHeight="1">
      <c r="A897" s="233">
        <v>240</v>
      </c>
      <c r="B897" s="234">
        <v>568</v>
      </c>
      <c r="C897" s="249" t="s">
        <v>1074</v>
      </c>
      <c r="D897" s="249" t="s">
        <v>1415</v>
      </c>
      <c r="E897" s="244" t="s">
        <v>1684</v>
      </c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6"/>
      <c r="S897" s="250">
        <v>568</v>
      </c>
      <c r="T897" s="247" t="s">
        <v>1684</v>
      </c>
      <c r="U897" s="245">
        <v>-19</v>
      </c>
      <c r="V897" s="245">
        <v>-16</v>
      </c>
      <c r="W897" s="245">
        <v>-16</v>
      </c>
      <c r="X897" s="245">
        <v>-12</v>
      </c>
      <c r="Y897" s="245">
        <v>-3</v>
      </c>
      <c r="Z897" s="245">
        <v>-25</v>
      </c>
      <c r="AA897" s="245">
        <v>10</v>
      </c>
      <c r="AB897" s="245">
        <v>0</v>
      </c>
      <c r="AC897" s="245" t="s">
        <v>830</v>
      </c>
      <c r="AD897" s="245">
        <v>96</v>
      </c>
      <c r="AE897" s="245">
        <v>4.5999999999999996</v>
      </c>
      <c r="AF897" s="245">
        <v>122</v>
      </c>
      <c r="AG897" s="245">
        <v>5.5</v>
      </c>
      <c r="AH897" s="245" t="s">
        <v>956</v>
      </c>
      <c r="AI897" s="245">
        <v>64</v>
      </c>
      <c r="AJ897" s="245">
        <v>141</v>
      </c>
      <c r="AK897" s="245" t="s">
        <v>990</v>
      </c>
      <c r="AL897" s="245">
        <v>4.9000000000000004</v>
      </c>
      <c r="AM897" s="246" t="s">
        <v>931</v>
      </c>
      <c r="AN897" s="235">
        <v>569</v>
      </c>
      <c r="AO897" s="247" t="s">
        <v>1685</v>
      </c>
      <c r="AP897" s="247">
        <v>985</v>
      </c>
      <c r="AQ897" s="247">
        <v>40</v>
      </c>
      <c r="AR897" s="247">
        <v>34</v>
      </c>
      <c r="AS897" s="247">
        <v>38.4</v>
      </c>
      <c r="AT897" s="247">
        <v>46</v>
      </c>
      <c r="AU897" s="247">
        <v>16.7</v>
      </c>
      <c r="AV897" s="247">
        <v>37</v>
      </c>
      <c r="AW897" s="247">
        <v>24</v>
      </c>
      <c r="AX897" s="247">
        <v>46</v>
      </c>
      <c r="AY897" s="247">
        <v>39</v>
      </c>
      <c r="AZ897" s="247" t="s">
        <v>959</v>
      </c>
      <c r="BA897" s="248">
        <v>1.7</v>
      </c>
      <c r="BB897" s="235"/>
      <c r="BC897" s="247" t="s">
        <v>1684</v>
      </c>
      <c r="BD897" s="247"/>
      <c r="BE897" s="247"/>
      <c r="BF897" s="247"/>
      <c r="BG897" s="247"/>
      <c r="BH897" s="247"/>
      <c r="BI897" s="247"/>
      <c r="BJ897" s="247"/>
      <c r="BK897" s="247"/>
      <c r="BL897" s="247"/>
      <c r="BM897" s="247"/>
      <c r="BN897" s="247"/>
      <c r="BO897" s="247"/>
      <c r="BP897" s="248"/>
    </row>
    <row r="898" spans="1:68" ht="14.25" customHeight="1">
      <c r="A898" s="233">
        <v>241</v>
      </c>
      <c r="B898" s="234">
        <v>522</v>
      </c>
      <c r="C898" s="244" t="s">
        <v>960</v>
      </c>
      <c r="D898" s="244" t="s">
        <v>1027</v>
      </c>
      <c r="E898" s="244" t="s">
        <v>1686</v>
      </c>
      <c r="F898" s="245">
        <v>-9.1</v>
      </c>
      <c r="G898" s="245">
        <v>-7.3</v>
      </c>
      <c r="H898" s="245">
        <v>0.9</v>
      </c>
      <c r="I898" s="245">
        <v>12</v>
      </c>
      <c r="J898" s="245">
        <v>19.5</v>
      </c>
      <c r="K898" s="245">
        <v>24.5</v>
      </c>
      <c r="L898" s="245">
        <v>26.4</v>
      </c>
      <c r="M898" s="245">
        <v>23.9</v>
      </c>
      <c r="N898" s="245">
        <v>17.2</v>
      </c>
      <c r="O898" s="245">
        <v>8.6</v>
      </c>
      <c r="P898" s="245">
        <v>0.3</v>
      </c>
      <c r="Q898" s="245">
        <v>-6.2</v>
      </c>
      <c r="R898" s="246">
        <v>9.1999999999999993</v>
      </c>
      <c r="S898" s="233">
        <v>522</v>
      </c>
      <c r="T898" s="247" t="s">
        <v>1686</v>
      </c>
      <c r="U898" s="245">
        <v>-34</v>
      </c>
      <c r="V898" s="245">
        <v>-30</v>
      </c>
      <c r="W898" s="245">
        <v>-26</v>
      </c>
      <c r="X898" s="245">
        <v>-24</v>
      </c>
      <c r="Y898" s="245" t="s">
        <v>956</v>
      </c>
      <c r="Z898" s="245">
        <v>-38</v>
      </c>
      <c r="AA898" s="245">
        <v>8.6</v>
      </c>
      <c r="AB898" s="245">
        <v>118</v>
      </c>
      <c r="AC898" s="245">
        <v>-6.2</v>
      </c>
      <c r="AD898" s="245">
        <v>175</v>
      </c>
      <c r="AE898" s="245">
        <v>-4.3</v>
      </c>
      <c r="AF898" s="245">
        <v>181</v>
      </c>
      <c r="AG898" s="245">
        <v>-2.2999999999999998</v>
      </c>
      <c r="AH898" s="245">
        <v>79</v>
      </c>
      <c r="AI898" s="245" t="s">
        <v>956</v>
      </c>
      <c r="AJ898" s="245">
        <v>73</v>
      </c>
      <c r="AK898" s="245" t="s">
        <v>938</v>
      </c>
      <c r="AL898" s="245">
        <v>4.5</v>
      </c>
      <c r="AM898" s="246">
        <v>4.4000000000000004</v>
      </c>
      <c r="AN898" s="235">
        <v>522</v>
      </c>
      <c r="AO898" s="247" t="s">
        <v>1687</v>
      </c>
      <c r="AP898" s="247" t="s">
        <v>965</v>
      </c>
      <c r="AQ898" s="247" t="s">
        <v>958</v>
      </c>
      <c r="AR898" s="247" t="s">
        <v>931</v>
      </c>
      <c r="AS898" s="247">
        <v>34.1</v>
      </c>
      <c r="AT898" s="247">
        <v>46</v>
      </c>
      <c r="AU898" s="247">
        <v>15.7</v>
      </c>
      <c r="AV898" s="247">
        <v>37</v>
      </c>
      <c r="AW898" s="247" t="s">
        <v>931</v>
      </c>
      <c r="AX898" s="247">
        <v>56</v>
      </c>
      <c r="AY898" s="247" t="s">
        <v>965</v>
      </c>
      <c r="AZ898" s="247" t="s">
        <v>1688</v>
      </c>
      <c r="BA898" s="248">
        <v>3.1</v>
      </c>
      <c r="BB898" s="235"/>
      <c r="BC898" s="247" t="s">
        <v>1686</v>
      </c>
      <c r="BD898" s="247"/>
      <c r="BE898" s="247"/>
      <c r="BF898" s="247"/>
      <c r="BG898" s="247"/>
      <c r="BH898" s="247"/>
      <c r="BI898" s="247"/>
      <c r="BJ898" s="247"/>
      <c r="BK898" s="247"/>
      <c r="BL898" s="247"/>
      <c r="BM898" s="247"/>
      <c r="BN898" s="247"/>
      <c r="BO898" s="247"/>
      <c r="BP898" s="248"/>
    </row>
    <row r="899" spans="1:68" ht="14.25" customHeight="1">
      <c r="A899" s="233">
        <v>242</v>
      </c>
      <c r="B899" s="234">
        <v>620</v>
      </c>
      <c r="C899" s="244" t="s">
        <v>953</v>
      </c>
      <c r="D899" s="244" t="s">
        <v>1689</v>
      </c>
      <c r="E899" s="244" t="s">
        <v>1690</v>
      </c>
      <c r="F899" s="245">
        <v>-5.6</v>
      </c>
      <c r="G899" s="245">
        <v>-4.2</v>
      </c>
      <c r="H899" s="245">
        <v>0.7</v>
      </c>
      <c r="I899" s="245">
        <v>8.6999999999999993</v>
      </c>
      <c r="J899" s="245">
        <v>15.1</v>
      </c>
      <c r="K899" s="245">
        <v>18.2</v>
      </c>
      <c r="L899" s="245">
        <v>19.3</v>
      </c>
      <c r="M899" s="245">
        <v>18.600000000000001</v>
      </c>
      <c r="N899" s="245">
        <v>13.9</v>
      </c>
      <c r="O899" s="245">
        <v>8.1</v>
      </c>
      <c r="P899" s="245">
        <v>2.1</v>
      </c>
      <c r="Q899" s="245">
        <v>-2.2999999999999998</v>
      </c>
      <c r="R899" s="246">
        <v>7.7</v>
      </c>
      <c r="S899" s="233">
        <v>609</v>
      </c>
      <c r="T899" s="247" t="s">
        <v>1690</v>
      </c>
      <c r="U899" s="245">
        <v>-29</v>
      </c>
      <c r="V899" s="245">
        <v>-26</v>
      </c>
      <c r="W899" s="245">
        <v>-25</v>
      </c>
      <c r="X899" s="245">
        <v>-22</v>
      </c>
      <c r="Y899" s="245">
        <v>-10</v>
      </c>
      <c r="Z899" s="245">
        <v>-32</v>
      </c>
      <c r="AA899" s="245" t="s">
        <v>956</v>
      </c>
      <c r="AB899" s="245">
        <v>103</v>
      </c>
      <c r="AC899" s="245">
        <v>-3.7</v>
      </c>
      <c r="AD899" s="245">
        <v>176</v>
      </c>
      <c r="AE899" s="245">
        <v>-0.6</v>
      </c>
      <c r="AF899" s="245">
        <v>193</v>
      </c>
      <c r="AG899" s="245">
        <v>0.3</v>
      </c>
      <c r="AH899" s="245" t="s">
        <v>956</v>
      </c>
      <c r="AI899" s="245" t="s">
        <v>956</v>
      </c>
      <c r="AJ899" s="245">
        <v>235</v>
      </c>
      <c r="AK899" s="245" t="s">
        <v>950</v>
      </c>
      <c r="AL899" s="245">
        <v>4.3</v>
      </c>
      <c r="AM899" s="246" t="s">
        <v>931</v>
      </c>
      <c r="AN899" s="235">
        <v>610</v>
      </c>
      <c r="AO899" s="247" t="s">
        <v>1691</v>
      </c>
      <c r="AP899" s="247">
        <v>995</v>
      </c>
      <c r="AQ899" s="247">
        <v>29</v>
      </c>
      <c r="AR899" s="247">
        <v>24</v>
      </c>
      <c r="AS899" s="247">
        <v>25.2</v>
      </c>
      <c r="AT899" s="247">
        <v>39</v>
      </c>
      <c r="AU899" s="247" t="s">
        <v>934</v>
      </c>
      <c r="AV899" s="247" t="s">
        <v>958</v>
      </c>
      <c r="AW899" s="247" t="s">
        <v>931</v>
      </c>
      <c r="AX899" s="247" t="s">
        <v>931</v>
      </c>
      <c r="AY899" s="247">
        <v>103</v>
      </c>
      <c r="AZ899" s="247" t="s">
        <v>1005</v>
      </c>
      <c r="BA899" s="248">
        <v>1.6</v>
      </c>
      <c r="BB899" s="235"/>
      <c r="BC899" s="247" t="s">
        <v>1690</v>
      </c>
      <c r="BD899" s="247"/>
      <c r="BE899" s="247"/>
      <c r="BF899" s="247"/>
      <c r="BG899" s="247"/>
      <c r="BH899" s="247"/>
      <c r="BI899" s="247"/>
      <c r="BJ899" s="247"/>
      <c r="BK899" s="247"/>
      <c r="BL899" s="247"/>
      <c r="BM899" s="247"/>
      <c r="BN899" s="247"/>
      <c r="BO899" s="247"/>
      <c r="BP899" s="248"/>
    </row>
    <row r="900" spans="1:68" ht="14.25" customHeight="1">
      <c r="A900" s="233">
        <v>243</v>
      </c>
      <c r="B900" s="234">
        <v>556</v>
      </c>
      <c r="C900" s="249" t="s">
        <v>1074</v>
      </c>
      <c r="D900" s="249" t="s">
        <v>1357</v>
      </c>
      <c r="E900" s="244" t="s">
        <v>1692</v>
      </c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6"/>
      <c r="S900" s="250">
        <v>556</v>
      </c>
      <c r="T900" s="247" t="s">
        <v>1692</v>
      </c>
      <c r="U900" s="245">
        <v>-19</v>
      </c>
      <c r="V900" s="245">
        <v>-18</v>
      </c>
      <c r="W900" s="245">
        <v>-17</v>
      </c>
      <c r="X900" s="245">
        <v>-14</v>
      </c>
      <c r="Y900" s="245">
        <v>-3</v>
      </c>
      <c r="Z900" s="245">
        <v>-26</v>
      </c>
      <c r="AA900" s="245">
        <v>8</v>
      </c>
      <c r="AB900" s="245">
        <v>0</v>
      </c>
      <c r="AC900" s="245" t="s">
        <v>830</v>
      </c>
      <c r="AD900" s="245">
        <v>118</v>
      </c>
      <c r="AE900" s="245">
        <v>3</v>
      </c>
      <c r="AF900" s="245">
        <v>135</v>
      </c>
      <c r="AG900" s="245">
        <v>3.8</v>
      </c>
      <c r="AH900" s="245" t="s">
        <v>956</v>
      </c>
      <c r="AI900" s="245">
        <v>72</v>
      </c>
      <c r="AJ900" s="245">
        <v>134</v>
      </c>
      <c r="AK900" s="245" t="s">
        <v>982</v>
      </c>
      <c r="AL900" s="245">
        <v>6.7</v>
      </c>
      <c r="AM900" s="246" t="s">
        <v>931</v>
      </c>
      <c r="AN900" s="235">
        <v>557</v>
      </c>
      <c r="AO900" s="247" t="s">
        <v>1693</v>
      </c>
      <c r="AP900" s="247">
        <v>1005</v>
      </c>
      <c r="AQ900" s="247">
        <v>40</v>
      </c>
      <c r="AR900" s="247">
        <v>35</v>
      </c>
      <c r="AS900" s="247">
        <v>38.4</v>
      </c>
      <c r="AT900" s="247">
        <v>47</v>
      </c>
      <c r="AU900" s="247">
        <v>13.5</v>
      </c>
      <c r="AV900" s="247">
        <v>38</v>
      </c>
      <c r="AW900" s="247">
        <v>28</v>
      </c>
      <c r="AX900" s="247">
        <v>103</v>
      </c>
      <c r="AY900" s="247">
        <v>77</v>
      </c>
      <c r="AZ900" s="247" t="s">
        <v>1038</v>
      </c>
      <c r="BA900" s="248">
        <v>2.8</v>
      </c>
      <c r="BB900" s="235"/>
      <c r="BC900" s="247" t="s">
        <v>1692</v>
      </c>
      <c r="BD900" s="247"/>
      <c r="BE900" s="247"/>
      <c r="BF900" s="247"/>
      <c r="BG900" s="247"/>
      <c r="BH900" s="247"/>
      <c r="BI900" s="247"/>
      <c r="BJ900" s="247"/>
      <c r="BK900" s="247"/>
      <c r="BL900" s="247"/>
      <c r="BM900" s="247"/>
      <c r="BN900" s="247"/>
      <c r="BO900" s="247"/>
      <c r="BP900" s="248"/>
    </row>
    <row r="901" spans="1:68" ht="14.25" customHeight="1">
      <c r="A901" s="233">
        <v>244</v>
      </c>
      <c r="B901" s="234">
        <v>557</v>
      </c>
      <c r="C901" s="249" t="s">
        <v>1074</v>
      </c>
      <c r="D901" s="249" t="s">
        <v>1357</v>
      </c>
      <c r="E901" s="244" t="s">
        <v>1694</v>
      </c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6"/>
      <c r="S901" s="250">
        <v>557</v>
      </c>
      <c r="T901" s="247" t="s">
        <v>1694</v>
      </c>
      <c r="U901" s="245">
        <v>-10</v>
      </c>
      <c r="V901" s="245">
        <v>-8</v>
      </c>
      <c r="W901" s="245">
        <v>-6</v>
      </c>
      <c r="X901" s="245">
        <v>-5</v>
      </c>
      <c r="Y901" s="245">
        <v>3</v>
      </c>
      <c r="Z901" s="245">
        <v>-15</v>
      </c>
      <c r="AA901" s="245">
        <v>10.3</v>
      </c>
      <c r="AB901" s="245">
        <v>0</v>
      </c>
      <c r="AC901" s="245" t="s">
        <v>830</v>
      </c>
      <c r="AD901" s="245">
        <v>82</v>
      </c>
      <c r="AE901" s="245">
        <v>6.3</v>
      </c>
      <c r="AF901" s="245">
        <v>111</v>
      </c>
      <c r="AG901" s="245">
        <v>6.9</v>
      </c>
      <c r="AH901" s="245" t="s">
        <v>956</v>
      </c>
      <c r="AI901" s="245">
        <v>61</v>
      </c>
      <c r="AJ901" s="245">
        <v>125</v>
      </c>
      <c r="AK901" s="245" t="s">
        <v>938</v>
      </c>
      <c r="AL901" s="245">
        <v>3.7</v>
      </c>
      <c r="AM901" s="246" t="s">
        <v>931</v>
      </c>
      <c r="AN901" s="235">
        <v>558</v>
      </c>
      <c r="AO901" s="247" t="s">
        <v>1695</v>
      </c>
      <c r="AP901" s="247">
        <v>1020</v>
      </c>
      <c r="AQ901" s="247">
        <v>38</v>
      </c>
      <c r="AR901" s="247">
        <v>32</v>
      </c>
      <c r="AS901" s="247">
        <v>36.299999999999997</v>
      </c>
      <c r="AT901" s="247">
        <v>48</v>
      </c>
      <c r="AU901" s="247">
        <v>13</v>
      </c>
      <c r="AV901" s="247">
        <v>58</v>
      </c>
      <c r="AW901" s="247">
        <v>34</v>
      </c>
      <c r="AX901" s="247">
        <v>76</v>
      </c>
      <c r="AY901" s="247">
        <v>91</v>
      </c>
      <c r="AZ901" s="247" t="s">
        <v>952</v>
      </c>
      <c r="BA901" s="248">
        <v>1.9</v>
      </c>
      <c r="BB901" s="235"/>
      <c r="BC901" s="247" t="s">
        <v>1694</v>
      </c>
      <c r="BD901" s="247"/>
      <c r="BE901" s="247"/>
      <c r="BF901" s="247"/>
      <c r="BG901" s="247"/>
      <c r="BH901" s="247"/>
      <c r="BI901" s="247"/>
      <c r="BJ901" s="247"/>
      <c r="BK901" s="247"/>
      <c r="BL901" s="247"/>
      <c r="BM901" s="247"/>
      <c r="BN901" s="247"/>
      <c r="BO901" s="247"/>
      <c r="BP901" s="248"/>
    </row>
    <row r="902" spans="1:68" ht="14.25" customHeight="1">
      <c r="A902" s="233">
        <v>245</v>
      </c>
      <c r="B902" s="234">
        <v>82</v>
      </c>
      <c r="C902" s="244" t="s">
        <v>928</v>
      </c>
      <c r="D902" s="244" t="s">
        <v>1551</v>
      </c>
      <c r="E902" s="244" t="s">
        <v>1696</v>
      </c>
      <c r="F902" s="245">
        <v>-11.7</v>
      </c>
      <c r="G902" s="245">
        <v>-11.3</v>
      </c>
      <c r="H902" s="245">
        <v>-5.6</v>
      </c>
      <c r="I902" s="245">
        <v>3.4</v>
      </c>
      <c r="J902" s="245">
        <v>11.1</v>
      </c>
      <c r="K902" s="245">
        <v>15.9</v>
      </c>
      <c r="L902" s="245">
        <v>18.2</v>
      </c>
      <c r="M902" s="245">
        <v>15.9</v>
      </c>
      <c r="N902" s="245">
        <v>10</v>
      </c>
      <c r="O902" s="245">
        <v>3.3</v>
      </c>
      <c r="P902" s="245">
        <v>-3.5</v>
      </c>
      <c r="Q902" s="245">
        <v>-9.1</v>
      </c>
      <c r="R902" s="246">
        <v>3</v>
      </c>
      <c r="S902" s="233">
        <v>82</v>
      </c>
      <c r="T902" s="247" t="s">
        <v>1697</v>
      </c>
      <c r="U902" s="245">
        <v>-39</v>
      </c>
      <c r="V902" s="245">
        <v>-35</v>
      </c>
      <c r="W902" s="245">
        <v>-33</v>
      </c>
      <c r="X902" s="245">
        <v>-31</v>
      </c>
      <c r="Y902" s="245">
        <v>-17</v>
      </c>
      <c r="Z902" s="245">
        <v>-45</v>
      </c>
      <c r="AA902" s="245">
        <v>6.4</v>
      </c>
      <c r="AB902" s="245">
        <v>155</v>
      </c>
      <c r="AC902" s="245">
        <v>-7.6</v>
      </c>
      <c r="AD902" s="245">
        <v>221</v>
      </c>
      <c r="AE902" s="245">
        <v>-4.0999999999999996</v>
      </c>
      <c r="AF902" s="245">
        <v>238</v>
      </c>
      <c r="AG902" s="245">
        <v>-3.2</v>
      </c>
      <c r="AH902" s="245">
        <v>84</v>
      </c>
      <c r="AI902" s="245">
        <v>83</v>
      </c>
      <c r="AJ902" s="245">
        <v>268</v>
      </c>
      <c r="AK902" s="245" t="s">
        <v>971</v>
      </c>
      <c r="AL902" s="245" t="s">
        <v>931</v>
      </c>
      <c r="AM902" s="246">
        <v>4.0999999999999996</v>
      </c>
      <c r="AN902" s="235">
        <v>82</v>
      </c>
      <c r="AO902" s="247" t="s">
        <v>1698</v>
      </c>
      <c r="AP902" s="247">
        <v>1000</v>
      </c>
      <c r="AQ902" s="247">
        <v>21.4</v>
      </c>
      <c r="AR902" s="247">
        <v>25.6</v>
      </c>
      <c r="AS902" s="247">
        <v>23.8</v>
      </c>
      <c r="AT902" s="247">
        <v>38</v>
      </c>
      <c r="AU902" s="247">
        <v>11.3</v>
      </c>
      <c r="AV902" s="247">
        <v>71</v>
      </c>
      <c r="AW902" s="247">
        <v>56</v>
      </c>
      <c r="AX902" s="247">
        <v>450</v>
      </c>
      <c r="AY902" s="247">
        <v>60</v>
      </c>
      <c r="AZ902" s="247" t="s">
        <v>978</v>
      </c>
      <c r="BA902" s="248" t="s">
        <v>934</v>
      </c>
      <c r="BB902" s="235"/>
      <c r="BC902" s="247" t="s">
        <v>1696</v>
      </c>
      <c r="BD902" s="247"/>
      <c r="BE902" s="247"/>
      <c r="BF902" s="247"/>
      <c r="BG902" s="247"/>
      <c r="BH902" s="247"/>
      <c r="BI902" s="247"/>
      <c r="BJ902" s="247"/>
      <c r="BK902" s="247"/>
      <c r="BL902" s="247"/>
      <c r="BM902" s="247"/>
      <c r="BN902" s="247"/>
      <c r="BO902" s="247"/>
      <c r="BP902" s="248"/>
    </row>
    <row r="903" spans="1:68" ht="14.25" customHeight="1">
      <c r="A903" s="233">
        <v>246</v>
      </c>
      <c r="B903" s="234">
        <v>95</v>
      </c>
      <c r="C903" s="244" t="s">
        <v>928</v>
      </c>
      <c r="D903" s="244" t="s">
        <v>1001</v>
      </c>
      <c r="E903" s="244" t="s">
        <v>1699</v>
      </c>
      <c r="F903" s="245">
        <v>-27.4</v>
      </c>
      <c r="G903" s="245">
        <v>-23.8</v>
      </c>
      <c r="H903" s="245">
        <v>-13.8</v>
      </c>
      <c r="I903" s="245">
        <v>-2.2000000000000002</v>
      </c>
      <c r="J903" s="245">
        <v>6.7</v>
      </c>
      <c r="K903" s="245">
        <v>15</v>
      </c>
      <c r="L903" s="245">
        <v>18.3</v>
      </c>
      <c r="M903" s="245">
        <v>14.8</v>
      </c>
      <c r="N903" s="245">
        <v>7</v>
      </c>
      <c r="O903" s="245">
        <v>-2.4</v>
      </c>
      <c r="P903" s="245">
        <v>-15.9</v>
      </c>
      <c r="Q903" s="245">
        <v>-25.8</v>
      </c>
      <c r="R903" s="246">
        <v>-4.0999999999999996</v>
      </c>
      <c r="S903" s="233">
        <v>95</v>
      </c>
      <c r="T903" s="247" t="s">
        <v>1700</v>
      </c>
      <c r="U903" s="245">
        <v>-55</v>
      </c>
      <c r="V903" s="245">
        <v>-53</v>
      </c>
      <c r="W903" s="245">
        <v>-53</v>
      </c>
      <c r="X903" s="245">
        <v>-49</v>
      </c>
      <c r="Y903" s="245">
        <v>-32</v>
      </c>
      <c r="Z903" s="245">
        <v>-58</v>
      </c>
      <c r="AA903" s="245">
        <v>12.2</v>
      </c>
      <c r="AB903" s="245">
        <v>197</v>
      </c>
      <c r="AC903" s="245">
        <v>-16.8</v>
      </c>
      <c r="AD903" s="245">
        <v>251</v>
      </c>
      <c r="AE903" s="245">
        <v>-12.3</v>
      </c>
      <c r="AF903" s="245">
        <v>266</v>
      </c>
      <c r="AG903" s="245">
        <v>-11.1</v>
      </c>
      <c r="AH903" s="245">
        <v>78</v>
      </c>
      <c r="AI903" s="245">
        <v>77</v>
      </c>
      <c r="AJ903" s="245">
        <v>132</v>
      </c>
      <c r="AK903" s="245" t="s">
        <v>971</v>
      </c>
      <c r="AL903" s="245">
        <v>4.4000000000000004</v>
      </c>
      <c r="AM903" s="246">
        <v>1.9</v>
      </c>
      <c r="AN903" s="235">
        <v>95</v>
      </c>
      <c r="AO903" s="247" t="s">
        <v>1701</v>
      </c>
      <c r="AP903" s="247">
        <v>975</v>
      </c>
      <c r="AQ903" s="247">
        <v>22.5</v>
      </c>
      <c r="AR903" s="247">
        <v>26.1</v>
      </c>
      <c r="AS903" s="247">
        <v>25.1</v>
      </c>
      <c r="AT903" s="247">
        <v>37</v>
      </c>
      <c r="AU903" s="247">
        <v>13.4</v>
      </c>
      <c r="AV903" s="247">
        <v>74</v>
      </c>
      <c r="AW903" s="247">
        <v>56</v>
      </c>
      <c r="AX903" s="247">
        <v>325</v>
      </c>
      <c r="AY903" s="247">
        <v>67</v>
      </c>
      <c r="AZ903" s="247" t="s">
        <v>978</v>
      </c>
      <c r="BA903" s="248">
        <v>0</v>
      </c>
      <c r="BB903" s="235">
        <v>79</v>
      </c>
      <c r="BC903" s="247" t="s">
        <v>1699</v>
      </c>
      <c r="BD903" s="247">
        <v>0.8</v>
      </c>
      <c r="BE903" s="247">
        <v>0.9</v>
      </c>
      <c r="BF903" s="247">
        <v>1.7</v>
      </c>
      <c r="BG903" s="247">
        <v>3.4</v>
      </c>
      <c r="BH903" s="247">
        <v>5.6</v>
      </c>
      <c r="BI903" s="247">
        <v>10.9</v>
      </c>
      <c r="BJ903" s="247">
        <v>14.9</v>
      </c>
      <c r="BK903" s="247">
        <v>12.9</v>
      </c>
      <c r="BL903" s="247">
        <v>8</v>
      </c>
      <c r="BM903" s="247">
        <v>4.0999999999999996</v>
      </c>
      <c r="BN903" s="247">
        <v>1.8</v>
      </c>
      <c r="BO903" s="247">
        <v>1</v>
      </c>
      <c r="BP903" s="248">
        <v>5.5</v>
      </c>
    </row>
    <row r="904" spans="1:68" ht="14.25" customHeight="1">
      <c r="A904" s="233">
        <v>247</v>
      </c>
      <c r="B904" s="234">
        <v>618</v>
      </c>
      <c r="C904" s="244" t="s">
        <v>953</v>
      </c>
      <c r="D904" s="244" t="s">
        <v>1526</v>
      </c>
      <c r="E904" s="244" t="s">
        <v>1702</v>
      </c>
      <c r="F904" s="245">
        <v>-5.2</v>
      </c>
      <c r="G904" s="245">
        <v>-4</v>
      </c>
      <c r="H904" s="245">
        <v>0.7</v>
      </c>
      <c r="I904" s="245">
        <v>9</v>
      </c>
      <c r="J904" s="245">
        <v>15</v>
      </c>
      <c r="K904" s="245">
        <v>18.7</v>
      </c>
      <c r="L904" s="245">
        <v>20.7</v>
      </c>
      <c r="M904" s="245">
        <v>19.8</v>
      </c>
      <c r="N904" s="245">
        <v>14.8</v>
      </c>
      <c r="O904" s="245">
        <v>8.1</v>
      </c>
      <c r="P904" s="245">
        <v>2.5</v>
      </c>
      <c r="Q904" s="245">
        <v>-1.9</v>
      </c>
      <c r="R904" s="246">
        <v>8.1999999999999993</v>
      </c>
      <c r="S904" s="233">
        <v>607</v>
      </c>
      <c r="T904" s="247" t="s">
        <v>1702</v>
      </c>
      <c r="U904" s="245">
        <v>-28</v>
      </c>
      <c r="V904" s="245">
        <v>-25</v>
      </c>
      <c r="W904" s="245">
        <v>-23</v>
      </c>
      <c r="X904" s="245">
        <v>-22</v>
      </c>
      <c r="Y904" s="245">
        <v>-8</v>
      </c>
      <c r="Z904" s="245">
        <v>-33</v>
      </c>
      <c r="AA904" s="245" t="s">
        <v>956</v>
      </c>
      <c r="AB904" s="245">
        <v>99</v>
      </c>
      <c r="AC904" s="245">
        <v>-3.5</v>
      </c>
      <c r="AD904" s="245">
        <v>174</v>
      </c>
      <c r="AE904" s="245">
        <v>-0.4</v>
      </c>
      <c r="AF904" s="245">
        <v>191</v>
      </c>
      <c r="AG904" s="245">
        <v>0.4</v>
      </c>
      <c r="AH904" s="245" t="s">
        <v>956</v>
      </c>
      <c r="AI904" s="245" t="s">
        <v>956</v>
      </c>
      <c r="AJ904" s="245">
        <v>236</v>
      </c>
      <c r="AK904" s="245" t="s">
        <v>982</v>
      </c>
      <c r="AL904" s="245" t="s">
        <v>931</v>
      </c>
      <c r="AM904" s="246" t="s">
        <v>931</v>
      </c>
      <c r="AN904" s="235">
        <v>608</v>
      </c>
      <c r="AO904" s="247" t="s">
        <v>1703</v>
      </c>
      <c r="AP904" s="247">
        <v>990</v>
      </c>
      <c r="AQ904" s="247">
        <v>29</v>
      </c>
      <c r="AR904" s="247">
        <v>26</v>
      </c>
      <c r="AS904" s="247">
        <v>26.8</v>
      </c>
      <c r="AT904" s="247">
        <v>38</v>
      </c>
      <c r="AU904" s="247" t="s">
        <v>934</v>
      </c>
      <c r="AV904" s="247" t="s">
        <v>958</v>
      </c>
      <c r="AW904" s="247" t="s">
        <v>931</v>
      </c>
      <c r="AX904" s="247" t="s">
        <v>931</v>
      </c>
      <c r="AY904" s="247">
        <v>114</v>
      </c>
      <c r="AZ904" s="247" t="s">
        <v>1005</v>
      </c>
      <c r="BA904" s="248">
        <v>1.9</v>
      </c>
      <c r="BB904" s="235"/>
      <c r="BC904" s="247" t="s">
        <v>1702</v>
      </c>
      <c r="BD904" s="247"/>
      <c r="BE904" s="247"/>
      <c r="BF904" s="247"/>
      <c r="BG904" s="247"/>
      <c r="BH904" s="247"/>
      <c r="BI904" s="247"/>
      <c r="BJ904" s="247"/>
      <c r="BK904" s="247"/>
      <c r="BL904" s="247"/>
      <c r="BM904" s="247"/>
      <c r="BN904" s="247"/>
      <c r="BO904" s="247"/>
      <c r="BP904" s="248"/>
    </row>
    <row r="905" spans="1:68" ht="14.25" customHeight="1">
      <c r="A905" s="233">
        <v>248</v>
      </c>
      <c r="B905" s="234">
        <v>147</v>
      </c>
      <c r="C905" s="244" t="s">
        <v>928</v>
      </c>
      <c r="D905" s="244" t="s">
        <v>1704</v>
      </c>
      <c r="E905" s="244" t="s">
        <v>173</v>
      </c>
      <c r="F905" s="245">
        <v>-14.4</v>
      </c>
      <c r="G905" s="245">
        <v>-12.9</v>
      </c>
      <c r="H905" s="245">
        <v>-6.7</v>
      </c>
      <c r="I905" s="245">
        <v>2.2000000000000002</v>
      </c>
      <c r="J905" s="245">
        <v>10</v>
      </c>
      <c r="K905" s="245">
        <v>15.4</v>
      </c>
      <c r="L905" s="245">
        <v>17.899999999999999</v>
      </c>
      <c r="M905" s="245">
        <v>15.3</v>
      </c>
      <c r="N905" s="245">
        <v>9</v>
      </c>
      <c r="O905" s="245">
        <v>1.5</v>
      </c>
      <c r="P905" s="245">
        <v>-5.7</v>
      </c>
      <c r="Q905" s="245">
        <v>-11.8</v>
      </c>
      <c r="R905" s="246">
        <v>1.6</v>
      </c>
      <c r="S905" s="233">
        <v>147</v>
      </c>
      <c r="T905" s="247" t="s">
        <v>1705</v>
      </c>
      <c r="U905" s="245">
        <v>-39</v>
      </c>
      <c r="V905" s="245">
        <v>-37</v>
      </c>
      <c r="W905" s="245">
        <v>-35</v>
      </c>
      <c r="X905" s="245">
        <v>-33</v>
      </c>
      <c r="Y905" s="245">
        <v>-19</v>
      </c>
      <c r="Z905" s="245">
        <v>-45</v>
      </c>
      <c r="AA905" s="245">
        <v>7.2</v>
      </c>
      <c r="AB905" s="245">
        <v>168</v>
      </c>
      <c r="AC905" s="245">
        <v>-9</v>
      </c>
      <c r="AD905" s="245">
        <v>231</v>
      </c>
      <c r="AE905" s="245">
        <v>-5.4</v>
      </c>
      <c r="AF905" s="245">
        <v>247</v>
      </c>
      <c r="AG905" s="245">
        <v>-4.8</v>
      </c>
      <c r="AH905" s="245">
        <v>86</v>
      </c>
      <c r="AI905" s="245">
        <v>82</v>
      </c>
      <c r="AJ905" s="245">
        <v>167</v>
      </c>
      <c r="AK905" s="245" t="s">
        <v>963</v>
      </c>
      <c r="AL905" s="245">
        <v>5.3</v>
      </c>
      <c r="AM905" s="246">
        <v>3.9</v>
      </c>
      <c r="AN905" s="235">
        <v>147</v>
      </c>
      <c r="AO905" s="247" t="s">
        <v>1706</v>
      </c>
      <c r="AP905" s="247">
        <v>995</v>
      </c>
      <c r="AQ905" s="247">
        <v>21.8</v>
      </c>
      <c r="AR905" s="247">
        <v>25.7</v>
      </c>
      <c r="AS905" s="247">
        <v>23.1</v>
      </c>
      <c r="AT905" s="247">
        <v>37</v>
      </c>
      <c r="AU905" s="247">
        <v>10.1</v>
      </c>
      <c r="AV905" s="247">
        <v>70</v>
      </c>
      <c r="AW905" s="247">
        <v>57</v>
      </c>
      <c r="AX905" s="247">
        <v>415</v>
      </c>
      <c r="AY905" s="247">
        <v>137</v>
      </c>
      <c r="AZ905" s="247" t="s">
        <v>952</v>
      </c>
      <c r="BA905" s="248">
        <v>4</v>
      </c>
      <c r="BB905" s="235">
        <v>128</v>
      </c>
      <c r="BC905" s="247" t="s">
        <v>173</v>
      </c>
      <c r="BD905" s="247">
        <v>2.1</v>
      </c>
      <c r="BE905" s="247">
        <v>2.2000000000000002</v>
      </c>
      <c r="BF905" s="247">
        <v>3.2</v>
      </c>
      <c r="BG905" s="247">
        <v>5.3</v>
      </c>
      <c r="BH905" s="247">
        <v>7.7</v>
      </c>
      <c r="BI905" s="247">
        <v>11.2</v>
      </c>
      <c r="BJ905" s="247">
        <v>14.1</v>
      </c>
      <c r="BK905" s="247">
        <v>12.8</v>
      </c>
      <c r="BL905" s="247">
        <v>9.6</v>
      </c>
      <c r="BM905" s="247">
        <v>6.1</v>
      </c>
      <c r="BN905" s="247">
        <v>4</v>
      </c>
      <c r="BO905" s="247">
        <v>2.7</v>
      </c>
      <c r="BP905" s="248">
        <v>6.8</v>
      </c>
    </row>
    <row r="906" spans="1:68" ht="14.25" customHeight="1">
      <c r="A906" s="233">
        <v>249</v>
      </c>
      <c r="B906" s="234">
        <v>623</v>
      </c>
      <c r="C906" s="244" t="s">
        <v>953</v>
      </c>
      <c r="D906" s="244" t="s">
        <v>1345</v>
      </c>
      <c r="E906" s="244" t="s">
        <v>1707</v>
      </c>
      <c r="F906" s="245">
        <v>-5.7</v>
      </c>
      <c r="G906" s="245">
        <v>-4.4000000000000004</v>
      </c>
      <c r="H906" s="245">
        <v>0.5</v>
      </c>
      <c r="I906" s="245">
        <v>8.9</v>
      </c>
      <c r="J906" s="245">
        <v>15.3</v>
      </c>
      <c r="K906" s="245">
        <v>18.600000000000001</v>
      </c>
      <c r="L906" s="245">
        <v>20</v>
      </c>
      <c r="M906" s="245">
        <v>19.399999999999999</v>
      </c>
      <c r="N906" s="245">
        <v>14.7</v>
      </c>
      <c r="O906" s="245">
        <v>8.1</v>
      </c>
      <c r="P906" s="245">
        <v>2.2999999999999998</v>
      </c>
      <c r="Q906" s="245">
        <v>-2.2999999999999998</v>
      </c>
      <c r="R906" s="246">
        <v>8</v>
      </c>
      <c r="S906" s="233">
        <v>612</v>
      </c>
      <c r="T906" s="247" t="s">
        <v>1707</v>
      </c>
      <c r="U906" s="245">
        <v>-30</v>
      </c>
      <c r="V906" s="245">
        <v>-26</v>
      </c>
      <c r="W906" s="245">
        <v>-25</v>
      </c>
      <c r="X906" s="245">
        <v>-22</v>
      </c>
      <c r="Y906" s="245">
        <v>-10</v>
      </c>
      <c r="Z906" s="245">
        <v>-35</v>
      </c>
      <c r="AA906" s="245" t="s">
        <v>956</v>
      </c>
      <c r="AB906" s="245">
        <v>102</v>
      </c>
      <c r="AC906" s="245">
        <v>-3.8</v>
      </c>
      <c r="AD906" s="245">
        <v>175</v>
      </c>
      <c r="AE906" s="245">
        <v>-0.7</v>
      </c>
      <c r="AF906" s="245">
        <v>191</v>
      </c>
      <c r="AG906" s="245">
        <v>0.1</v>
      </c>
      <c r="AH906" s="245" t="s">
        <v>956</v>
      </c>
      <c r="AI906" s="245" t="s">
        <v>956</v>
      </c>
      <c r="AJ906" s="245">
        <v>167</v>
      </c>
      <c r="AK906" s="245" t="s">
        <v>963</v>
      </c>
      <c r="AL906" s="245" t="s">
        <v>931</v>
      </c>
      <c r="AM906" s="246" t="s">
        <v>931</v>
      </c>
      <c r="AN906" s="235">
        <v>613</v>
      </c>
      <c r="AO906" s="247" t="s">
        <v>1708</v>
      </c>
      <c r="AP906" s="247">
        <v>995</v>
      </c>
      <c r="AQ906" s="247">
        <v>29</v>
      </c>
      <c r="AR906" s="247">
        <v>25</v>
      </c>
      <c r="AS906" s="247">
        <v>25.9</v>
      </c>
      <c r="AT906" s="247">
        <v>39</v>
      </c>
      <c r="AU906" s="247" t="s">
        <v>934</v>
      </c>
      <c r="AV906" s="247" t="s">
        <v>958</v>
      </c>
      <c r="AW906" s="247" t="s">
        <v>931</v>
      </c>
      <c r="AX906" s="247" t="s">
        <v>931</v>
      </c>
      <c r="AY906" s="247">
        <v>122</v>
      </c>
      <c r="AZ906" s="247" t="s">
        <v>959</v>
      </c>
      <c r="BA906" s="248">
        <v>2.8</v>
      </c>
      <c r="BB906" s="235"/>
      <c r="BC906" s="247" t="s">
        <v>1707</v>
      </c>
      <c r="BD906" s="247"/>
      <c r="BE906" s="247"/>
      <c r="BF906" s="247"/>
      <c r="BG906" s="247"/>
      <c r="BH906" s="247"/>
      <c r="BI906" s="247"/>
      <c r="BJ906" s="247"/>
      <c r="BK906" s="247"/>
      <c r="BL906" s="247"/>
      <c r="BM906" s="247"/>
      <c r="BN906" s="247"/>
      <c r="BO906" s="247"/>
      <c r="BP906" s="248"/>
    </row>
    <row r="907" spans="1:68" ht="14.25" customHeight="1">
      <c r="A907" s="233">
        <v>250</v>
      </c>
      <c r="B907" s="234">
        <v>261</v>
      </c>
      <c r="C907" s="244" t="s">
        <v>928</v>
      </c>
      <c r="D907" s="244" t="s">
        <v>941</v>
      </c>
      <c r="E907" s="244" t="s">
        <v>1709</v>
      </c>
      <c r="F907" s="245">
        <v>-20.6</v>
      </c>
      <c r="G907" s="245">
        <v>-16.899999999999999</v>
      </c>
      <c r="H907" s="245">
        <v>-6.4</v>
      </c>
      <c r="I907" s="245">
        <v>5.0999999999999996</v>
      </c>
      <c r="J907" s="245">
        <v>12.7</v>
      </c>
      <c r="K907" s="245">
        <v>17.600000000000001</v>
      </c>
      <c r="L907" s="245">
        <v>21.5</v>
      </c>
      <c r="M907" s="245">
        <v>20.8</v>
      </c>
      <c r="N907" s="245">
        <v>14.2</v>
      </c>
      <c r="O907" s="245">
        <v>5.9</v>
      </c>
      <c r="P907" s="245">
        <v>-5.8</v>
      </c>
      <c r="Q907" s="245">
        <v>-16.7</v>
      </c>
      <c r="R907" s="246">
        <v>2.6</v>
      </c>
      <c r="S907" s="233">
        <v>261</v>
      </c>
      <c r="T907" s="247" t="s">
        <v>1710</v>
      </c>
      <c r="U907" s="245">
        <v>-37</v>
      </c>
      <c r="V907" s="245">
        <v>-35</v>
      </c>
      <c r="W907" s="245">
        <v>-34</v>
      </c>
      <c r="X907" s="245">
        <v>-31</v>
      </c>
      <c r="Y907" s="245">
        <v>-25</v>
      </c>
      <c r="Z907" s="245">
        <v>-44</v>
      </c>
      <c r="AA907" s="245">
        <v>13.7</v>
      </c>
      <c r="AB907" s="245">
        <v>151</v>
      </c>
      <c r="AC907" s="245">
        <v>-13.3</v>
      </c>
      <c r="AD907" s="245">
        <v>201</v>
      </c>
      <c r="AE907" s="245">
        <v>-8.8000000000000007</v>
      </c>
      <c r="AF907" s="245">
        <v>217</v>
      </c>
      <c r="AG907" s="245">
        <v>-7.5</v>
      </c>
      <c r="AH907" s="245">
        <v>73</v>
      </c>
      <c r="AI907" s="245">
        <v>69</v>
      </c>
      <c r="AJ907" s="245">
        <v>98</v>
      </c>
      <c r="AK907" s="245" t="s">
        <v>963</v>
      </c>
      <c r="AL907" s="245" t="s">
        <v>931</v>
      </c>
      <c r="AM907" s="246">
        <v>2.1</v>
      </c>
      <c r="AN907" s="235">
        <v>261</v>
      </c>
      <c r="AO907" s="247" t="s">
        <v>1711</v>
      </c>
      <c r="AP907" s="247">
        <v>1000</v>
      </c>
      <c r="AQ907" s="247">
        <v>25</v>
      </c>
      <c r="AR907" s="247">
        <v>30</v>
      </c>
      <c r="AS907" s="247">
        <v>27.3</v>
      </c>
      <c r="AT907" s="247">
        <v>38</v>
      </c>
      <c r="AU907" s="247">
        <v>10.7</v>
      </c>
      <c r="AV907" s="247">
        <v>79</v>
      </c>
      <c r="AW907" s="247">
        <v>70</v>
      </c>
      <c r="AX907" s="247">
        <v>599</v>
      </c>
      <c r="AY907" s="247">
        <v>117</v>
      </c>
      <c r="AZ907" s="247" t="s">
        <v>973</v>
      </c>
      <c r="BA907" s="248" t="s">
        <v>934</v>
      </c>
      <c r="BB907" s="235">
        <v>232</v>
      </c>
      <c r="BC907" s="247" t="s">
        <v>1709</v>
      </c>
      <c r="BD907" s="247">
        <v>1</v>
      </c>
      <c r="BE907" s="247">
        <v>1.3</v>
      </c>
      <c r="BF907" s="247">
        <v>2.7</v>
      </c>
      <c r="BG907" s="247">
        <v>5.3</v>
      </c>
      <c r="BH907" s="247">
        <v>8.8000000000000007</v>
      </c>
      <c r="BI907" s="247">
        <v>14.8</v>
      </c>
      <c r="BJ907" s="247">
        <v>20.2</v>
      </c>
      <c r="BK907" s="247">
        <v>19.8</v>
      </c>
      <c r="BL907" s="247">
        <v>12.4</v>
      </c>
      <c r="BM907" s="247">
        <v>6.4</v>
      </c>
      <c r="BN907" s="247">
        <v>3</v>
      </c>
      <c r="BO907" s="247">
        <v>1.4</v>
      </c>
      <c r="BP907" s="248">
        <v>8.1</v>
      </c>
    </row>
    <row r="908" spans="1:68" ht="14.25" customHeight="1">
      <c r="A908" s="233">
        <v>251</v>
      </c>
      <c r="B908" s="234">
        <v>289</v>
      </c>
      <c r="C908" s="244" t="s">
        <v>928</v>
      </c>
      <c r="D908" s="244" t="s">
        <v>992</v>
      </c>
      <c r="E908" s="244" t="s">
        <v>391</v>
      </c>
      <c r="F908" s="245">
        <v>-23.6</v>
      </c>
      <c r="G908" s="245">
        <v>-19.7</v>
      </c>
      <c r="H908" s="245">
        <v>-12</v>
      </c>
      <c r="I908" s="245">
        <v>-1.7</v>
      </c>
      <c r="J908" s="245">
        <v>5.6</v>
      </c>
      <c r="K908" s="245">
        <v>11.7</v>
      </c>
      <c r="L908" s="245">
        <v>15.6</v>
      </c>
      <c r="M908" s="245">
        <v>15.5</v>
      </c>
      <c r="N908" s="245">
        <v>10.4</v>
      </c>
      <c r="O908" s="245">
        <v>2.1</v>
      </c>
      <c r="P908" s="245">
        <v>-9.1</v>
      </c>
      <c r="Q908" s="245">
        <v>-19.3</v>
      </c>
      <c r="R908" s="246">
        <v>-2</v>
      </c>
      <c r="S908" s="233">
        <v>289</v>
      </c>
      <c r="T908" s="247" t="s">
        <v>1712</v>
      </c>
      <c r="U908" s="245">
        <v>-40</v>
      </c>
      <c r="V908" s="245">
        <v>-39</v>
      </c>
      <c r="W908" s="245">
        <v>-38</v>
      </c>
      <c r="X908" s="245">
        <v>-36</v>
      </c>
      <c r="Y908" s="245">
        <v>-29</v>
      </c>
      <c r="Z908" s="245">
        <v>-48</v>
      </c>
      <c r="AA908" s="245">
        <v>14.4</v>
      </c>
      <c r="AB908" s="245">
        <v>183</v>
      </c>
      <c r="AC908" s="245">
        <v>-13.9</v>
      </c>
      <c r="AD908" s="245">
        <v>246</v>
      </c>
      <c r="AE908" s="245">
        <v>-9.1999999999999993</v>
      </c>
      <c r="AF908" s="245">
        <v>263</v>
      </c>
      <c r="AG908" s="245">
        <v>-8</v>
      </c>
      <c r="AH908" s="245">
        <v>79</v>
      </c>
      <c r="AI908" s="245">
        <v>77</v>
      </c>
      <c r="AJ908" s="245">
        <v>172</v>
      </c>
      <c r="AK908" s="245" t="s">
        <v>944</v>
      </c>
      <c r="AL908" s="245">
        <v>5.7</v>
      </c>
      <c r="AM908" s="246">
        <v>2.7</v>
      </c>
      <c r="AN908" s="235">
        <v>283</v>
      </c>
      <c r="AO908" s="247" t="s">
        <v>1713</v>
      </c>
      <c r="AP908" s="247">
        <v>1000</v>
      </c>
      <c r="AQ908" s="247">
        <v>19.100000000000001</v>
      </c>
      <c r="AR908" s="247">
        <v>23.4</v>
      </c>
      <c r="AS908" s="247">
        <v>21.5</v>
      </c>
      <c r="AT908" s="247">
        <v>35</v>
      </c>
      <c r="AU908" s="247">
        <v>10.5</v>
      </c>
      <c r="AV908" s="247">
        <v>84</v>
      </c>
      <c r="AW908" s="247">
        <v>68</v>
      </c>
      <c r="AX908" s="247">
        <v>472</v>
      </c>
      <c r="AY908" s="247">
        <v>70</v>
      </c>
      <c r="AZ908" s="247" t="s">
        <v>973</v>
      </c>
      <c r="BA908" s="248">
        <v>0</v>
      </c>
      <c r="BB908" s="235">
        <v>254</v>
      </c>
      <c r="BC908" s="247" t="s">
        <v>391</v>
      </c>
      <c r="BD908" s="247">
        <v>1</v>
      </c>
      <c r="BE908" s="247">
        <v>1.2</v>
      </c>
      <c r="BF908" s="247">
        <v>2.1</v>
      </c>
      <c r="BG908" s="247">
        <v>4.0999999999999996</v>
      </c>
      <c r="BH908" s="247">
        <v>6.5</v>
      </c>
      <c r="BI908" s="247">
        <v>10.199999999999999</v>
      </c>
      <c r="BJ908" s="247">
        <v>14.4</v>
      </c>
      <c r="BK908" s="247">
        <v>14.9</v>
      </c>
      <c r="BL908" s="247">
        <v>10.7</v>
      </c>
      <c r="BM908" s="247">
        <v>5.9</v>
      </c>
      <c r="BN908" s="247">
        <v>2.9</v>
      </c>
      <c r="BO908" s="247">
        <v>1.4</v>
      </c>
      <c r="BP908" s="248">
        <v>6.3</v>
      </c>
    </row>
    <row r="909" spans="1:68" ht="14.25" customHeight="1">
      <c r="A909" s="233">
        <v>252</v>
      </c>
      <c r="B909" s="234">
        <v>140</v>
      </c>
      <c r="C909" s="244" t="s">
        <v>928</v>
      </c>
      <c r="D909" s="244" t="s">
        <v>1677</v>
      </c>
      <c r="E909" s="244" t="s">
        <v>1714</v>
      </c>
      <c r="F909" s="245">
        <v>-17.2</v>
      </c>
      <c r="G909" s="245">
        <v>-15.5</v>
      </c>
      <c r="H909" s="245">
        <v>-8.1</v>
      </c>
      <c r="I909" s="245">
        <v>2</v>
      </c>
      <c r="J909" s="245">
        <v>10</v>
      </c>
      <c r="K909" s="245">
        <v>16.600000000000001</v>
      </c>
      <c r="L909" s="245">
        <v>18.8</v>
      </c>
      <c r="M909" s="245">
        <v>15.8</v>
      </c>
      <c r="N909" s="245">
        <v>10</v>
      </c>
      <c r="O909" s="245">
        <v>2.2000000000000002</v>
      </c>
      <c r="P909" s="245">
        <v>-8.3000000000000007</v>
      </c>
      <c r="Q909" s="245">
        <v>-15.4</v>
      </c>
      <c r="R909" s="246">
        <v>0.9</v>
      </c>
      <c r="S909" s="233">
        <v>140</v>
      </c>
      <c r="T909" s="247" t="s">
        <v>1715</v>
      </c>
      <c r="U909" s="245">
        <v>-45</v>
      </c>
      <c r="V909" s="245">
        <v>-42</v>
      </c>
      <c r="W909" s="245">
        <v>-40</v>
      </c>
      <c r="X909" s="245">
        <v>-39</v>
      </c>
      <c r="Y909" s="245">
        <v>-22</v>
      </c>
      <c r="Z909" s="245">
        <v>-50</v>
      </c>
      <c r="AA909" s="245">
        <v>8.5</v>
      </c>
      <c r="AB909" s="245">
        <v>169</v>
      </c>
      <c r="AC909" s="245">
        <v>-11.2</v>
      </c>
      <c r="AD909" s="245">
        <v>227</v>
      </c>
      <c r="AE909" s="245">
        <v>-7.3</v>
      </c>
      <c r="AF909" s="245">
        <v>242</v>
      </c>
      <c r="AG909" s="245">
        <v>-6.7</v>
      </c>
      <c r="AH909" s="245">
        <v>78</v>
      </c>
      <c r="AI909" s="245">
        <v>75</v>
      </c>
      <c r="AJ909" s="245">
        <v>98</v>
      </c>
      <c r="AK909" s="245" t="s">
        <v>971</v>
      </c>
      <c r="AL909" s="245">
        <v>5.5</v>
      </c>
      <c r="AM909" s="246" t="s">
        <v>931</v>
      </c>
      <c r="AN909" s="235">
        <v>140</v>
      </c>
      <c r="AO909" s="247" t="s">
        <v>1716</v>
      </c>
      <c r="AP909" s="247">
        <v>975</v>
      </c>
      <c r="AQ909" s="247">
        <v>22.5</v>
      </c>
      <c r="AR909" s="247">
        <v>26.6</v>
      </c>
      <c r="AS909" s="247">
        <v>24.9</v>
      </c>
      <c r="AT909" s="247">
        <v>38</v>
      </c>
      <c r="AU909" s="247">
        <v>11.9</v>
      </c>
      <c r="AV909" s="247">
        <v>72</v>
      </c>
      <c r="AW909" s="247">
        <v>56</v>
      </c>
      <c r="AX909" s="247">
        <v>338</v>
      </c>
      <c r="AY909" s="247">
        <v>49</v>
      </c>
      <c r="AZ909" s="247" t="s">
        <v>978</v>
      </c>
      <c r="BA909" s="248">
        <v>0</v>
      </c>
      <c r="BB909" s="235">
        <v>123</v>
      </c>
      <c r="BC909" s="247" t="s">
        <v>1714</v>
      </c>
      <c r="BD909" s="247">
        <v>1.5</v>
      </c>
      <c r="BE909" s="247">
        <v>1.8</v>
      </c>
      <c r="BF909" s="247">
        <v>2.7</v>
      </c>
      <c r="BG909" s="247">
        <v>4.8</v>
      </c>
      <c r="BH909" s="247">
        <v>7.1</v>
      </c>
      <c r="BI909" s="247">
        <v>11.9</v>
      </c>
      <c r="BJ909" s="247">
        <v>15</v>
      </c>
      <c r="BK909" s="247">
        <v>13</v>
      </c>
      <c r="BL909" s="247">
        <v>8.8000000000000007</v>
      </c>
      <c r="BM909" s="247">
        <v>5.3</v>
      </c>
      <c r="BN909" s="247">
        <v>2.9</v>
      </c>
      <c r="BO909" s="247">
        <v>1.9</v>
      </c>
      <c r="BP909" s="248">
        <v>6.4</v>
      </c>
    </row>
    <row r="910" spans="1:68" ht="14.25" customHeight="1">
      <c r="A910" s="233">
        <v>253</v>
      </c>
      <c r="B910" s="234">
        <v>306</v>
      </c>
      <c r="C910" s="244" t="s">
        <v>928</v>
      </c>
      <c r="D910" s="244" t="s">
        <v>1034</v>
      </c>
      <c r="E910" s="244" t="s">
        <v>1717</v>
      </c>
      <c r="F910" s="245">
        <v>-3.3</v>
      </c>
      <c r="G910" s="245">
        <v>-2.4</v>
      </c>
      <c r="H910" s="245">
        <v>1.5</v>
      </c>
      <c r="I910" s="245">
        <v>8</v>
      </c>
      <c r="J910" s="245">
        <v>13</v>
      </c>
      <c r="K910" s="245">
        <v>16.2</v>
      </c>
      <c r="L910" s="245">
        <v>18.600000000000001</v>
      </c>
      <c r="M910" s="245">
        <v>18.2</v>
      </c>
      <c r="N910" s="245">
        <v>13.9</v>
      </c>
      <c r="O910" s="245">
        <v>8.3000000000000007</v>
      </c>
      <c r="P910" s="245">
        <v>3.2</v>
      </c>
      <c r="Q910" s="245">
        <v>-1.1000000000000001</v>
      </c>
      <c r="R910" s="246">
        <v>7.7</v>
      </c>
      <c r="S910" s="233">
        <v>306</v>
      </c>
      <c r="T910" s="247" t="s">
        <v>1718</v>
      </c>
      <c r="U910" s="245">
        <v>-22</v>
      </c>
      <c r="V910" s="245">
        <v>-20</v>
      </c>
      <c r="W910" s="245">
        <v>-18</v>
      </c>
      <c r="X910" s="245">
        <v>-16</v>
      </c>
      <c r="Y910" s="245">
        <v>-6</v>
      </c>
      <c r="Z910" s="245">
        <v>-29</v>
      </c>
      <c r="AA910" s="245">
        <v>9.4</v>
      </c>
      <c r="AB910" s="245">
        <v>91</v>
      </c>
      <c r="AC910" s="245" t="s">
        <v>1719</v>
      </c>
      <c r="AD910" s="245">
        <v>179</v>
      </c>
      <c r="AE910" s="245">
        <v>0.4</v>
      </c>
      <c r="AF910" s="245">
        <v>201</v>
      </c>
      <c r="AG910" s="245">
        <v>1.6</v>
      </c>
      <c r="AH910" s="245">
        <v>70</v>
      </c>
      <c r="AI910" s="245">
        <v>56</v>
      </c>
      <c r="AJ910" s="245" t="s">
        <v>1018</v>
      </c>
      <c r="AK910" s="245" t="s">
        <v>963</v>
      </c>
      <c r="AL910" s="245" t="s">
        <v>931</v>
      </c>
      <c r="AM910" s="246">
        <v>2.2999999999999998</v>
      </c>
      <c r="AN910" s="235">
        <v>306</v>
      </c>
      <c r="AO910" s="247" t="s">
        <v>1720</v>
      </c>
      <c r="AP910" s="247">
        <v>910</v>
      </c>
      <c r="AQ910" s="247">
        <v>20</v>
      </c>
      <c r="AR910" s="247">
        <v>26</v>
      </c>
      <c r="AS910" s="247">
        <v>24.6</v>
      </c>
      <c r="AT910" s="247">
        <v>37</v>
      </c>
      <c r="AU910" s="247">
        <v>10.7</v>
      </c>
      <c r="AV910" s="247">
        <v>67</v>
      </c>
      <c r="AW910" s="247">
        <v>53</v>
      </c>
      <c r="AX910" s="247" t="s">
        <v>931</v>
      </c>
      <c r="AY910" s="247" t="s">
        <v>965</v>
      </c>
      <c r="AZ910" s="247" t="s">
        <v>946</v>
      </c>
      <c r="BA910" s="248" t="s">
        <v>934</v>
      </c>
      <c r="BB910" s="235"/>
      <c r="BC910" s="247" t="s">
        <v>1717</v>
      </c>
      <c r="BD910" s="247"/>
      <c r="BE910" s="247"/>
      <c r="BF910" s="247"/>
      <c r="BG910" s="247"/>
      <c r="BH910" s="247"/>
      <c r="BI910" s="247"/>
      <c r="BJ910" s="247"/>
      <c r="BK910" s="247"/>
      <c r="BL910" s="247"/>
      <c r="BM910" s="247"/>
      <c r="BN910" s="247"/>
      <c r="BO910" s="247"/>
      <c r="BP910" s="248"/>
    </row>
    <row r="911" spans="1:68" ht="14.25" customHeight="1">
      <c r="A911" s="233">
        <v>254</v>
      </c>
      <c r="B911" s="234">
        <v>549</v>
      </c>
      <c r="C911" s="244" t="s">
        <v>1721</v>
      </c>
      <c r="D911" s="244" t="s">
        <v>1721</v>
      </c>
      <c r="E911" s="244" t="s">
        <v>1722</v>
      </c>
      <c r="F911" s="245">
        <v>-3.5</v>
      </c>
      <c r="G911" s="245">
        <v>-2.2000000000000002</v>
      </c>
      <c r="H911" s="245">
        <v>2.6</v>
      </c>
      <c r="I911" s="245">
        <v>9.6999999999999993</v>
      </c>
      <c r="J911" s="245">
        <v>15.9</v>
      </c>
      <c r="K911" s="245">
        <v>19.399999999999999</v>
      </c>
      <c r="L911" s="245">
        <v>21.4</v>
      </c>
      <c r="M911" s="245">
        <v>20.7</v>
      </c>
      <c r="N911" s="245">
        <v>16</v>
      </c>
      <c r="O911" s="245">
        <v>10.1</v>
      </c>
      <c r="P911" s="245">
        <v>4.0999999999999996</v>
      </c>
      <c r="Q911" s="245">
        <v>-0.8</v>
      </c>
      <c r="R911" s="246">
        <v>9.4</v>
      </c>
      <c r="S911" s="233">
        <v>549</v>
      </c>
      <c r="T911" s="247" t="s">
        <v>1722</v>
      </c>
      <c r="U911" s="245">
        <v>-24</v>
      </c>
      <c r="V911" s="245">
        <v>-22</v>
      </c>
      <c r="W911" s="245">
        <v>-20</v>
      </c>
      <c r="X911" s="245">
        <v>-17</v>
      </c>
      <c r="Y911" s="245">
        <v>-8</v>
      </c>
      <c r="Z911" s="245">
        <v>-32</v>
      </c>
      <c r="AA911" s="245">
        <v>5.9</v>
      </c>
      <c r="AB911" s="245">
        <v>82</v>
      </c>
      <c r="AC911" s="245">
        <v>-2.5</v>
      </c>
      <c r="AD911" s="245">
        <v>162</v>
      </c>
      <c r="AE911" s="245">
        <v>0.6</v>
      </c>
      <c r="AF911" s="245">
        <v>179</v>
      </c>
      <c r="AG911" s="245">
        <v>1.4</v>
      </c>
      <c r="AH911" s="245">
        <v>81</v>
      </c>
      <c r="AI911" s="245">
        <v>75</v>
      </c>
      <c r="AJ911" s="245">
        <v>130</v>
      </c>
      <c r="AK911" s="245" t="s">
        <v>944</v>
      </c>
      <c r="AL911" s="245">
        <v>5.7</v>
      </c>
      <c r="AM911" s="246" t="s">
        <v>931</v>
      </c>
      <c r="AN911" s="235">
        <v>549</v>
      </c>
      <c r="AO911" s="247" t="s">
        <v>1723</v>
      </c>
      <c r="AP911" s="247">
        <v>995</v>
      </c>
      <c r="AQ911" s="247">
        <v>31</v>
      </c>
      <c r="AR911" s="247">
        <v>26</v>
      </c>
      <c r="AS911" s="247">
        <v>28.1</v>
      </c>
      <c r="AT911" s="247">
        <v>39</v>
      </c>
      <c r="AU911" s="247">
        <v>12</v>
      </c>
      <c r="AV911" s="247">
        <v>63</v>
      </c>
      <c r="AW911" s="247">
        <v>49</v>
      </c>
      <c r="AX911" s="247">
        <v>346</v>
      </c>
      <c r="AY911" s="247">
        <v>218</v>
      </c>
      <c r="AZ911" s="247" t="s">
        <v>959</v>
      </c>
      <c r="BA911" s="248">
        <v>2.7</v>
      </c>
      <c r="BB911" s="235"/>
      <c r="BC911" s="247" t="s">
        <v>1722</v>
      </c>
      <c r="BD911" s="247"/>
      <c r="BE911" s="247"/>
      <c r="BF911" s="247"/>
      <c r="BG911" s="247"/>
      <c r="BH911" s="247"/>
      <c r="BI911" s="247"/>
      <c r="BJ911" s="247"/>
      <c r="BK911" s="247"/>
      <c r="BL911" s="247"/>
      <c r="BM911" s="247"/>
      <c r="BN911" s="247"/>
      <c r="BO911" s="247"/>
      <c r="BP911" s="248"/>
    </row>
    <row r="912" spans="1:68" ht="14.25" customHeight="1">
      <c r="A912" s="233">
        <v>255</v>
      </c>
      <c r="B912" s="234">
        <v>650</v>
      </c>
      <c r="C912" s="244" t="s">
        <v>953</v>
      </c>
      <c r="D912" s="244" t="s">
        <v>954</v>
      </c>
      <c r="E912" s="244" t="s">
        <v>1724</v>
      </c>
      <c r="F912" s="245">
        <v>-1.5</v>
      </c>
      <c r="G912" s="245">
        <v>-0.5</v>
      </c>
      <c r="H912" s="245">
        <v>3.1</v>
      </c>
      <c r="I912" s="245">
        <v>10.4</v>
      </c>
      <c r="J912" s="245">
        <v>15.7</v>
      </c>
      <c r="K912" s="245">
        <v>19.899999999999999</v>
      </c>
      <c r="L912" s="245">
        <v>22.2</v>
      </c>
      <c r="M912" s="245">
        <v>21.5</v>
      </c>
      <c r="N912" s="245">
        <v>16.600000000000001</v>
      </c>
      <c r="O912" s="245">
        <v>10.4</v>
      </c>
      <c r="P912" s="245">
        <v>5.9</v>
      </c>
      <c r="Q912" s="245">
        <v>1.9</v>
      </c>
      <c r="R912" s="246">
        <v>10.5</v>
      </c>
      <c r="S912" s="233">
        <v>639</v>
      </c>
      <c r="T912" s="247" t="s">
        <v>1724</v>
      </c>
      <c r="U912" s="245">
        <v>-27</v>
      </c>
      <c r="V912" s="245">
        <v>-25</v>
      </c>
      <c r="W912" s="245">
        <v>-23</v>
      </c>
      <c r="X912" s="245">
        <v>-21</v>
      </c>
      <c r="Y912" s="245">
        <v>-9</v>
      </c>
      <c r="Z912" s="245">
        <v>-33</v>
      </c>
      <c r="AA912" s="245" t="s">
        <v>956</v>
      </c>
      <c r="AB912" s="245">
        <v>55</v>
      </c>
      <c r="AC912" s="245">
        <v>-1.1000000000000001</v>
      </c>
      <c r="AD912" s="245">
        <v>156</v>
      </c>
      <c r="AE912" s="245">
        <v>2</v>
      </c>
      <c r="AF912" s="245">
        <v>175</v>
      </c>
      <c r="AG912" s="245">
        <v>2.8</v>
      </c>
      <c r="AH912" s="245" t="s">
        <v>956</v>
      </c>
      <c r="AI912" s="245" t="s">
        <v>956</v>
      </c>
      <c r="AJ912" s="245">
        <v>160</v>
      </c>
      <c r="AK912" s="245" t="s">
        <v>982</v>
      </c>
      <c r="AL912" s="245" t="s">
        <v>931</v>
      </c>
      <c r="AM912" s="246" t="s">
        <v>931</v>
      </c>
      <c r="AN912" s="235">
        <v>640</v>
      </c>
      <c r="AO912" s="247" t="s">
        <v>1725</v>
      </c>
      <c r="AP912" s="247">
        <v>1010</v>
      </c>
      <c r="AQ912" s="247">
        <v>30</v>
      </c>
      <c r="AR912" s="247">
        <v>27</v>
      </c>
      <c r="AS912" s="247">
        <v>28.3</v>
      </c>
      <c r="AT912" s="247">
        <v>41</v>
      </c>
      <c r="AU912" s="247" t="s">
        <v>934</v>
      </c>
      <c r="AV912" s="247" t="s">
        <v>958</v>
      </c>
      <c r="AW912" s="247" t="s">
        <v>931</v>
      </c>
      <c r="AX912" s="247" t="s">
        <v>931</v>
      </c>
      <c r="AY912" s="247">
        <v>114</v>
      </c>
      <c r="AZ912" s="247" t="s">
        <v>959</v>
      </c>
      <c r="BA912" s="248">
        <v>1.9</v>
      </c>
      <c r="BB912" s="235"/>
      <c r="BC912" s="247" t="s">
        <v>1724</v>
      </c>
      <c r="BD912" s="247"/>
      <c r="BE912" s="247"/>
      <c r="BF912" s="247"/>
      <c r="BG912" s="247"/>
      <c r="BH912" s="247"/>
      <c r="BI912" s="247"/>
      <c r="BJ912" s="247"/>
      <c r="BK912" s="247"/>
      <c r="BL912" s="247"/>
      <c r="BM912" s="247"/>
      <c r="BN912" s="247"/>
      <c r="BO912" s="247"/>
      <c r="BP912" s="248"/>
    </row>
    <row r="913" spans="1:68" ht="14.25" customHeight="1">
      <c r="A913" s="233">
        <v>256</v>
      </c>
      <c r="B913" s="234">
        <v>114</v>
      </c>
      <c r="C913" s="244" t="s">
        <v>928</v>
      </c>
      <c r="D913" s="244" t="s">
        <v>1023</v>
      </c>
      <c r="E913" s="244" t="s">
        <v>1726</v>
      </c>
      <c r="F913" s="245">
        <v>-16.100000000000001</v>
      </c>
      <c r="G913" s="245">
        <v>-14</v>
      </c>
      <c r="H913" s="245">
        <v>-9.6999999999999993</v>
      </c>
      <c r="I913" s="245">
        <v>-2.7</v>
      </c>
      <c r="J913" s="245">
        <v>4.2</v>
      </c>
      <c r="K913" s="245">
        <v>10.8</v>
      </c>
      <c r="L913" s="245">
        <v>14.6</v>
      </c>
      <c r="M913" s="245">
        <v>13.6</v>
      </c>
      <c r="N913" s="245">
        <v>8.6999999999999993</v>
      </c>
      <c r="O913" s="245">
        <v>1.5</v>
      </c>
      <c r="P913" s="245">
        <v>-7.5</v>
      </c>
      <c r="Q913" s="245">
        <v>-14.1</v>
      </c>
      <c r="R913" s="246">
        <v>-0.9</v>
      </c>
      <c r="S913" s="233">
        <v>114</v>
      </c>
      <c r="T913" s="247" t="s">
        <v>1727</v>
      </c>
      <c r="U913" s="245">
        <v>-43</v>
      </c>
      <c r="V913" s="245">
        <v>-39</v>
      </c>
      <c r="W913" s="245">
        <v>-40</v>
      </c>
      <c r="X913" s="245">
        <v>-35</v>
      </c>
      <c r="Y913" s="245">
        <v>-21</v>
      </c>
      <c r="Z913" s="245">
        <v>-49</v>
      </c>
      <c r="AA913" s="245">
        <v>9</v>
      </c>
      <c r="AB913" s="245">
        <v>188</v>
      </c>
      <c r="AC913" s="245">
        <v>-10.1</v>
      </c>
      <c r="AD913" s="245">
        <v>257</v>
      </c>
      <c r="AE913" s="245">
        <v>-6.3</v>
      </c>
      <c r="AF913" s="245">
        <v>277</v>
      </c>
      <c r="AG913" s="245">
        <v>-5.0999999999999996</v>
      </c>
      <c r="AH913" s="245">
        <v>82</v>
      </c>
      <c r="AI913" s="245">
        <v>81</v>
      </c>
      <c r="AJ913" s="245">
        <v>492</v>
      </c>
      <c r="AK913" s="245" t="s">
        <v>950</v>
      </c>
      <c r="AL913" s="245">
        <v>7.2</v>
      </c>
      <c r="AM913" s="246">
        <v>5.2</v>
      </c>
      <c r="AN913" s="235">
        <v>114</v>
      </c>
      <c r="AO913" s="247" t="s">
        <v>1728</v>
      </c>
      <c r="AP913" s="247">
        <v>1005</v>
      </c>
      <c r="AQ913" s="247">
        <v>17.2</v>
      </c>
      <c r="AR913" s="247">
        <v>21</v>
      </c>
      <c r="AS913" s="247">
        <v>19.5</v>
      </c>
      <c r="AT913" s="247">
        <v>31</v>
      </c>
      <c r="AU913" s="247">
        <v>9.5</v>
      </c>
      <c r="AV913" s="247">
        <v>76</v>
      </c>
      <c r="AW913" s="247">
        <v>65</v>
      </c>
      <c r="AX913" s="247">
        <v>368</v>
      </c>
      <c r="AY913" s="247">
        <v>78</v>
      </c>
      <c r="AZ913" s="247" t="s">
        <v>1038</v>
      </c>
      <c r="BA913" s="248">
        <v>0</v>
      </c>
      <c r="BB913" s="235">
        <v>98</v>
      </c>
      <c r="BC913" s="247" t="s">
        <v>1726</v>
      </c>
      <c r="BD913" s="247">
        <v>2</v>
      </c>
      <c r="BE913" s="247">
        <v>2</v>
      </c>
      <c r="BF913" s="247">
        <v>2.4</v>
      </c>
      <c r="BG913" s="247">
        <v>3.6</v>
      </c>
      <c r="BH913" s="247">
        <v>5.6</v>
      </c>
      <c r="BI913" s="247">
        <v>8.6999999999999993</v>
      </c>
      <c r="BJ913" s="247">
        <v>12.5</v>
      </c>
      <c r="BK913" s="247">
        <v>12.5</v>
      </c>
      <c r="BL913" s="247">
        <v>8.8000000000000007</v>
      </c>
      <c r="BM913" s="247">
        <v>4.9000000000000004</v>
      </c>
      <c r="BN913" s="247">
        <v>2.9</v>
      </c>
      <c r="BO913" s="247">
        <v>2.1</v>
      </c>
      <c r="BP913" s="248">
        <v>5.7</v>
      </c>
    </row>
    <row r="914" spans="1:68" ht="14.25" customHeight="1">
      <c r="A914" s="233">
        <v>257</v>
      </c>
      <c r="B914" s="234">
        <v>185</v>
      </c>
      <c r="C914" s="244" t="s">
        <v>928</v>
      </c>
      <c r="D914" s="244" t="s">
        <v>935</v>
      </c>
      <c r="E914" s="244" t="s">
        <v>1726</v>
      </c>
      <c r="F914" s="245">
        <v>-17.7</v>
      </c>
      <c r="G914" s="245">
        <v>-15.6</v>
      </c>
      <c r="H914" s="245">
        <v>-8</v>
      </c>
      <c r="I914" s="245">
        <v>0.8</v>
      </c>
      <c r="J914" s="245">
        <v>8.1999999999999993</v>
      </c>
      <c r="K914" s="245">
        <v>15.6</v>
      </c>
      <c r="L914" s="245">
        <v>18.100000000000001</v>
      </c>
      <c r="M914" s="245">
        <v>14.8</v>
      </c>
      <c r="N914" s="245">
        <v>8.5</v>
      </c>
      <c r="O914" s="245">
        <v>0.7</v>
      </c>
      <c r="P914" s="245">
        <v>-10.1</v>
      </c>
      <c r="Q914" s="245">
        <v>-16.899999999999999</v>
      </c>
      <c r="R914" s="246">
        <v>-0.1</v>
      </c>
      <c r="S914" s="233">
        <v>185</v>
      </c>
      <c r="T914" s="247" t="s">
        <v>1727</v>
      </c>
      <c r="U914" s="245">
        <v>-45</v>
      </c>
      <c r="V914" s="245">
        <v>-43</v>
      </c>
      <c r="W914" s="245">
        <v>-40</v>
      </c>
      <c r="X914" s="245">
        <v>-39</v>
      </c>
      <c r="Y914" s="245">
        <v>-23</v>
      </c>
      <c r="Z914" s="245">
        <v>-50</v>
      </c>
      <c r="AA914" s="245">
        <v>9.1</v>
      </c>
      <c r="AB914" s="245">
        <v>177</v>
      </c>
      <c r="AC914" s="245">
        <v>-11.5</v>
      </c>
      <c r="AD914" s="245">
        <v>240</v>
      </c>
      <c r="AE914" s="245">
        <v>-7.4</v>
      </c>
      <c r="AF914" s="245">
        <v>257</v>
      </c>
      <c r="AG914" s="245">
        <v>-6.3</v>
      </c>
      <c r="AH914" s="245">
        <v>75</v>
      </c>
      <c r="AI914" s="245">
        <v>71</v>
      </c>
      <c r="AJ914" s="245">
        <v>156</v>
      </c>
      <c r="AK914" s="245" t="s">
        <v>950</v>
      </c>
      <c r="AL914" s="245" t="s">
        <v>931</v>
      </c>
      <c r="AM914" s="246">
        <v>2.5</v>
      </c>
      <c r="AN914" s="235">
        <v>185</v>
      </c>
      <c r="AO914" s="247" t="s">
        <v>1728</v>
      </c>
      <c r="AP914" s="247">
        <v>970</v>
      </c>
      <c r="AQ914" s="247">
        <v>22.1</v>
      </c>
      <c r="AR914" s="247">
        <v>26.2</v>
      </c>
      <c r="AS914" s="247">
        <v>24.5</v>
      </c>
      <c r="AT914" s="247">
        <v>36</v>
      </c>
      <c r="AU914" s="247">
        <v>12.3</v>
      </c>
      <c r="AV914" s="247">
        <v>72</v>
      </c>
      <c r="AW914" s="247">
        <v>56</v>
      </c>
      <c r="AX914" s="247">
        <v>385</v>
      </c>
      <c r="AY914" s="247">
        <v>63</v>
      </c>
      <c r="AZ914" s="247" t="s">
        <v>952</v>
      </c>
      <c r="BA914" s="248" t="s">
        <v>934</v>
      </c>
      <c r="BB914" s="235">
        <v>163</v>
      </c>
      <c r="BC914" s="247" t="s">
        <v>1726</v>
      </c>
      <c r="BD914" s="247">
        <v>1.4</v>
      </c>
      <c r="BE914" s="247">
        <v>1.5</v>
      </c>
      <c r="BF914" s="247">
        <v>2.2999999999999998</v>
      </c>
      <c r="BG914" s="247">
        <v>3.9</v>
      </c>
      <c r="BH914" s="247">
        <v>6.1</v>
      </c>
      <c r="BI914" s="247">
        <v>11.1</v>
      </c>
      <c r="BJ914" s="247">
        <v>14.7</v>
      </c>
      <c r="BK914" s="247">
        <v>12.9</v>
      </c>
      <c r="BL914" s="247">
        <v>8.4</v>
      </c>
      <c r="BM914" s="247">
        <v>4.7</v>
      </c>
      <c r="BN914" s="247">
        <v>2.5</v>
      </c>
      <c r="BO914" s="247">
        <v>1.7</v>
      </c>
      <c r="BP914" s="248">
        <v>5.9</v>
      </c>
    </row>
    <row r="915" spans="1:68" ht="14.25" customHeight="1">
      <c r="A915" s="233">
        <v>258</v>
      </c>
      <c r="B915" s="234">
        <v>215</v>
      </c>
      <c r="C915" s="244" t="s">
        <v>928</v>
      </c>
      <c r="D915" s="244" t="s">
        <v>1246</v>
      </c>
      <c r="E915" s="244" t="s">
        <v>1729</v>
      </c>
      <c r="F915" s="245">
        <v>-13.5</v>
      </c>
      <c r="G915" s="245">
        <v>-14.1</v>
      </c>
      <c r="H915" s="245">
        <v>-9.1999999999999993</v>
      </c>
      <c r="I915" s="245">
        <v>-3.1</v>
      </c>
      <c r="J915" s="245">
        <v>3.8</v>
      </c>
      <c r="K915" s="245">
        <v>10.6</v>
      </c>
      <c r="L915" s="245">
        <v>13.4</v>
      </c>
      <c r="M915" s="245">
        <v>11</v>
      </c>
      <c r="N915" s="245">
        <v>5.2</v>
      </c>
      <c r="O915" s="245">
        <v>-1.2</v>
      </c>
      <c r="P915" s="245">
        <v>-7.1</v>
      </c>
      <c r="Q915" s="245">
        <v>-11.3</v>
      </c>
      <c r="R915" s="246">
        <v>-1.3</v>
      </c>
      <c r="S915" s="233">
        <v>215</v>
      </c>
      <c r="T915" s="247" t="s">
        <v>1730</v>
      </c>
      <c r="U915" s="245">
        <v>-45</v>
      </c>
      <c r="V915" s="245">
        <v>-39</v>
      </c>
      <c r="W915" s="245">
        <v>-41</v>
      </c>
      <c r="X915" s="245">
        <v>-34</v>
      </c>
      <c r="Y915" s="245">
        <v>-19</v>
      </c>
      <c r="Z915" s="245">
        <v>-44</v>
      </c>
      <c r="AA915" s="245">
        <v>9.4</v>
      </c>
      <c r="AB915" s="245">
        <v>201</v>
      </c>
      <c r="AC915" s="245">
        <v>-8.6999999999999993</v>
      </c>
      <c r="AD915" s="245">
        <v>276</v>
      </c>
      <c r="AE915" s="245">
        <v>-5.2</v>
      </c>
      <c r="AF915" s="245">
        <v>296</v>
      </c>
      <c r="AG915" s="245">
        <v>-4.3</v>
      </c>
      <c r="AH915" s="245">
        <v>83</v>
      </c>
      <c r="AI915" s="245">
        <v>80</v>
      </c>
      <c r="AJ915" s="245">
        <v>159</v>
      </c>
      <c r="AK915" s="245" t="s">
        <v>971</v>
      </c>
      <c r="AL915" s="245">
        <v>3.5</v>
      </c>
      <c r="AM915" s="246">
        <v>2.4</v>
      </c>
      <c r="AN915" s="235">
        <v>215</v>
      </c>
      <c r="AO915" s="247" t="s">
        <v>1731</v>
      </c>
      <c r="AP915" s="247">
        <v>985</v>
      </c>
      <c r="AQ915" s="247">
        <v>16.3</v>
      </c>
      <c r="AR915" s="247">
        <v>20.8</v>
      </c>
      <c r="AS915" s="247">
        <v>18.7</v>
      </c>
      <c r="AT915" s="247">
        <v>32</v>
      </c>
      <c r="AU915" s="247">
        <v>12.3</v>
      </c>
      <c r="AV915" s="247">
        <v>71</v>
      </c>
      <c r="AW915" s="247">
        <v>57</v>
      </c>
      <c r="AX915" s="247">
        <v>410</v>
      </c>
      <c r="AY915" s="247">
        <v>57</v>
      </c>
      <c r="AZ915" s="247" t="s">
        <v>1005</v>
      </c>
      <c r="BA915" s="248">
        <v>0</v>
      </c>
      <c r="BB915" s="235">
        <v>190</v>
      </c>
      <c r="BC915" s="247" t="s">
        <v>1729</v>
      </c>
      <c r="BD915" s="247">
        <v>2.2000000000000002</v>
      </c>
      <c r="BE915" s="247">
        <v>2.1</v>
      </c>
      <c r="BF915" s="247">
        <v>2.8</v>
      </c>
      <c r="BG915" s="247">
        <v>3.7</v>
      </c>
      <c r="BH915" s="247">
        <v>5.4</v>
      </c>
      <c r="BI915" s="247">
        <v>8.3000000000000007</v>
      </c>
      <c r="BJ915" s="247">
        <v>10.7</v>
      </c>
      <c r="BK915" s="247">
        <v>10.3</v>
      </c>
      <c r="BL915" s="247">
        <v>7.6</v>
      </c>
      <c r="BM915" s="247">
        <v>5.2</v>
      </c>
      <c r="BN915" s="247">
        <v>3.6</v>
      </c>
      <c r="BO915" s="247">
        <v>2.8</v>
      </c>
      <c r="BP915" s="248">
        <v>5.4</v>
      </c>
    </row>
    <row r="916" spans="1:68" ht="14.25" customHeight="1">
      <c r="A916" s="233">
        <v>259</v>
      </c>
      <c r="B916" s="234">
        <v>608</v>
      </c>
      <c r="C916" s="244" t="s">
        <v>953</v>
      </c>
      <c r="D916" s="244" t="s">
        <v>1732</v>
      </c>
      <c r="E916" s="244" t="s">
        <v>1733</v>
      </c>
      <c r="F916" s="245">
        <v>-4.7</v>
      </c>
      <c r="G916" s="245">
        <v>-3.4</v>
      </c>
      <c r="H916" s="245">
        <v>1</v>
      </c>
      <c r="I916" s="245">
        <v>7.9</v>
      </c>
      <c r="J916" s="245">
        <v>13.7</v>
      </c>
      <c r="K916" s="245">
        <v>16.8</v>
      </c>
      <c r="L916" s="245">
        <v>18</v>
      </c>
      <c r="M916" s="245">
        <v>17.2</v>
      </c>
      <c r="N916" s="245">
        <v>13</v>
      </c>
      <c r="O916" s="245">
        <v>7.8</v>
      </c>
      <c r="P916" s="245">
        <v>2.6</v>
      </c>
      <c r="Q916" s="245">
        <v>-1.8</v>
      </c>
      <c r="R916" s="246">
        <v>7.3</v>
      </c>
      <c r="S916" s="233">
        <v>597</v>
      </c>
      <c r="T916" s="247" t="s">
        <v>1733</v>
      </c>
      <c r="U916" s="245">
        <v>-28</v>
      </c>
      <c r="V916" s="245">
        <v>-25</v>
      </c>
      <c r="W916" s="245">
        <v>-23</v>
      </c>
      <c r="X916" s="245">
        <v>-21</v>
      </c>
      <c r="Y916" s="245">
        <v>-9</v>
      </c>
      <c r="Z916" s="245">
        <v>-35</v>
      </c>
      <c r="AA916" s="245" t="s">
        <v>956</v>
      </c>
      <c r="AB916" s="245">
        <v>97</v>
      </c>
      <c r="AC916" s="245">
        <v>-3.2</v>
      </c>
      <c r="AD916" s="245">
        <v>180</v>
      </c>
      <c r="AE916" s="245">
        <v>0</v>
      </c>
      <c r="AF916" s="245">
        <v>200</v>
      </c>
      <c r="AG916" s="245">
        <v>0.9</v>
      </c>
      <c r="AH916" s="245" t="s">
        <v>956</v>
      </c>
      <c r="AI916" s="245" t="s">
        <v>956</v>
      </c>
      <c r="AJ916" s="245">
        <v>176</v>
      </c>
      <c r="AK916" s="245" t="s">
        <v>950</v>
      </c>
      <c r="AL916" s="245" t="s">
        <v>931</v>
      </c>
      <c r="AM916" s="246" t="s">
        <v>931</v>
      </c>
      <c r="AN916" s="235">
        <v>598</v>
      </c>
      <c r="AO916" s="247" t="s">
        <v>1734</v>
      </c>
      <c r="AP916" s="247">
        <v>995</v>
      </c>
      <c r="AQ916" s="247">
        <v>27</v>
      </c>
      <c r="AR916" s="247">
        <v>23</v>
      </c>
      <c r="AS916" s="247">
        <v>23.7</v>
      </c>
      <c r="AT916" s="247">
        <v>37</v>
      </c>
      <c r="AU916" s="247" t="s">
        <v>934</v>
      </c>
      <c r="AV916" s="247" t="s">
        <v>958</v>
      </c>
      <c r="AW916" s="247" t="s">
        <v>931</v>
      </c>
      <c r="AX916" s="247" t="s">
        <v>931</v>
      </c>
      <c r="AY916" s="247">
        <v>122</v>
      </c>
      <c r="AZ916" s="247" t="s">
        <v>952</v>
      </c>
      <c r="BA916" s="248">
        <v>1.4</v>
      </c>
      <c r="BB916" s="235"/>
      <c r="BC916" s="247" t="s">
        <v>1733</v>
      </c>
      <c r="BD916" s="247"/>
      <c r="BE916" s="247"/>
      <c r="BF916" s="247"/>
      <c r="BG916" s="247"/>
      <c r="BH916" s="247"/>
      <c r="BI916" s="247"/>
      <c r="BJ916" s="247"/>
      <c r="BK916" s="247"/>
      <c r="BL916" s="247"/>
      <c r="BM916" s="247"/>
      <c r="BN916" s="247"/>
      <c r="BO916" s="247"/>
      <c r="BP916" s="248"/>
    </row>
    <row r="917" spans="1:68" ht="14.25" customHeight="1">
      <c r="A917" s="233">
        <v>260</v>
      </c>
      <c r="B917" s="234">
        <v>115</v>
      </c>
      <c r="C917" s="244" t="s">
        <v>928</v>
      </c>
      <c r="D917" s="244" t="s">
        <v>1023</v>
      </c>
      <c r="E917" s="244" t="s">
        <v>1735</v>
      </c>
      <c r="F917" s="245">
        <v>-17.899999999999999</v>
      </c>
      <c r="G917" s="245">
        <v>-15.1</v>
      </c>
      <c r="H917" s="245">
        <v>-10.199999999999999</v>
      </c>
      <c r="I917" s="245">
        <v>-2.1</v>
      </c>
      <c r="J917" s="245">
        <v>5.0999999999999996</v>
      </c>
      <c r="K917" s="245">
        <v>11.5</v>
      </c>
      <c r="L917" s="245">
        <v>14.9</v>
      </c>
      <c r="M917" s="245">
        <v>13.6</v>
      </c>
      <c r="N917" s="245">
        <v>8.1</v>
      </c>
      <c r="O917" s="245">
        <v>0.4</v>
      </c>
      <c r="P917" s="245">
        <v>-9.8000000000000007</v>
      </c>
      <c r="Q917" s="245">
        <v>-16.7</v>
      </c>
      <c r="R917" s="246">
        <v>-1.5</v>
      </c>
      <c r="S917" s="233">
        <v>115</v>
      </c>
      <c r="T917" s="247" t="s">
        <v>1736</v>
      </c>
      <c r="U917" s="245">
        <v>-41</v>
      </c>
      <c r="V917" s="245">
        <v>-39</v>
      </c>
      <c r="W917" s="245">
        <v>-39</v>
      </c>
      <c r="X917" s="245">
        <v>-37</v>
      </c>
      <c r="Y917" s="245">
        <v>-23</v>
      </c>
      <c r="Z917" s="245">
        <v>-48</v>
      </c>
      <c r="AA917" s="245">
        <v>12</v>
      </c>
      <c r="AB917" s="245">
        <v>189</v>
      </c>
      <c r="AC917" s="245">
        <v>-11.3</v>
      </c>
      <c r="AD917" s="245">
        <v>256</v>
      </c>
      <c r="AE917" s="245">
        <v>-7.3</v>
      </c>
      <c r="AF917" s="245">
        <v>276</v>
      </c>
      <c r="AG917" s="245">
        <v>-6.1</v>
      </c>
      <c r="AH917" s="245">
        <v>82</v>
      </c>
      <c r="AI917" s="245">
        <v>81</v>
      </c>
      <c r="AJ917" s="245">
        <v>234</v>
      </c>
      <c r="AK917" s="245" t="s">
        <v>996</v>
      </c>
      <c r="AL917" s="245" t="s">
        <v>931</v>
      </c>
      <c r="AM917" s="246" t="s">
        <v>931</v>
      </c>
      <c r="AN917" s="235">
        <v>115</v>
      </c>
      <c r="AO917" s="247" t="s">
        <v>1737</v>
      </c>
      <c r="AP917" s="247">
        <v>1005</v>
      </c>
      <c r="AQ917" s="247">
        <v>18.7</v>
      </c>
      <c r="AR917" s="247">
        <v>23</v>
      </c>
      <c r="AS917" s="247">
        <v>21.1</v>
      </c>
      <c r="AT917" s="247">
        <v>32</v>
      </c>
      <c r="AU917" s="247">
        <v>12.1</v>
      </c>
      <c r="AV917" s="247">
        <v>75</v>
      </c>
      <c r="AW917" s="247">
        <v>61</v>
      </c>
      <c r="AX917" s="247">
        <v>278</v>
      </c>
      <c r="AY917" s="247">
        <v>40</v>
      </c>
      <c r="AZ917" s="247" t="s">
        <v>1005</v>
      </c>
      <c r="BA917" s="248" t="s">
        <v>934</v>
      </c>
      <c r="BB917" s="235">
        <v>99</v>
      </c>
      <c r="BC917" s="247" t="s">
        <v>1735</v>
      </c>
      <c r="BD917" s="247">
        <v>1.8</v>
      </c>
      <c r="BE917" s="247">
        <v>1.9</v>
      </c>
      <c r="BF917" s="247">
        <v>2.4</v>
      </c>
      <c r="BG917" s="247">
        <v>3.6</v>
      </c>
      <c r="BH917" s="247">
        <v>5.5</v>
      </c>
      <c r="BI917" s="247">
        <v>8.8000000000000007</v>
      </c>
      <c r="BJ917" s="247">
        <v>12.6</v>
      </c>
      <c r="BK917" s="247">
        <v>12.5</v>
      </c>
      <c r="BL917" s="247">
        <v>8.6</v>
      </c>
      <c r="BM917" s="247">
        <v>4.8</v>
      </c>
      <c r="BN917" s="247">
        <v>2.8</v>
      </c>
      <c r="BO917" s="247">
        <v>1.9</v>
      </c>
      <c r="BP917" s="248">
        <v>5.6</v>
      </c>
    </row>
    <row r="918" spans="1:68" ht="14.25" customHeight="1">
      <c r="A918" s="233">
        <v>261</v>
      </c>
      <c r="B918" s="234">
        <v>41</v>
      </c>
      <c r="C918" s="244" t="s">
        <v>928</v>
      </c>
      <c r="D918" s="244" t="s">
        <v>1043</v>
      </c>
      <c r="E918" s="244" t="s">
        <v>1738</v>
      </c>
      <c r="F918" s="245">
        <v>-16.5</v>
      </c>
      <c r="G918" s="245">
        <v>-15</v>
      </c>
      <c r="H918" s="245">
        <v>-9.6</v>
      </c>
      <c r="I918" s="245">
        <v>-1.3</v>
      </c>
      <c r="J918" s="245">
        <v>4.5999999999999996</v>
      </c>
      <c r="K918" s="245">
        <v>11.8</v>
      </c>
      <c r="L918" s="245">
        <v>15.2</v>
      </c>
      <c r="M918" s="245">
        <v>12.7</v>
      </c>
      <c r="N918" s="245">
        <v>6.6</v>
      </c>
      <c r="O918" s="245">
        <v>-0.3</v>
      </c>
      <c r="P918" s="245">
        <v>-6.8</v>
      </c>
      <c r="Q918" s="245">
        <v>-12.9</v>
      </c>
      <c r="R918" s="246">
        <v>-1</v>
      </c>
      <c r="S918" s="233">
        <v>41</v>
      </c>
      <c r="T918" s="247" t="s">
        <v>1739</v>
      </c>
      <c r="U918" s="245">
        <v>-49</v>
      </c>
      <c r="V918" s="245">
        <v>-47</v>
      </c>
      <c r="W918" s="245">
        <v>-41</v>
      </c>
      <c r="X918" s="245">
        <v>-40</v>
      </c>
      <c r="Y918" s="245">
        <v>-22</v>
      </c>
      <c r="Z918" s="245">
        <v>-52</v>
      </c>
      <c r="AA918" s="245">
        <v>9</v>
      </c>
      <c r="AB918" s="245">
        <v>190</v>
      </c>
      <c r="AC918" s="245">
        <v>-9.8000000000000007</v>
      </c>
      <c r="AD918" s="245">
        <v>264</v>
      </c>
      <c r="AE918" s="245">
        <v>-5.9</v>
      </c>
      <c r="AF918" s="245">
        <v>282</v>
      </c>
      <c r="AG918" s="245">
        <v>-5</v>
      </c>
      <c r="AH918" s="245">
        <v>84</v>
      </c>
      <c r="AI918" s="245">
        <v>82</v>
      </c>
      <c r="AJ918" s="245">
        <v>190</v>
      </c>
      <c r="AK918" s="245" t="s">
        <v>963</v>
      </c>
      <c r="AL918" s="245">
        <v>3.7</v>
      </c>
      <c r="AM918" s="246">
        <v>3</v>
      </c>
      <c r="AN918" s="235">
        <v>41</v>
      </c>
      <c r="AO918" s="247" t="s">
        <v>1740</v>
      </c>
      <c r="AP918" s="247">
        <v>1000</v>
      </c>
      <c r="AQ918" s="247">
        <v>19</v>
      </c>
      <c r="AR918" s="247">
        <v>23.3</v>
      </c>
      <c r="AS918" s="247">
        <v>21.4</v>
      </c>
      <c r="AT918" s="247">
        <v>36</v>
      </c>
      <c r="AU918" s="247">
        <v>12</v>
      </c>
      <c r="AV918" s="247">
        <v>70</v>
      </c>
      <c r="AW918" s="247">
        <v>55</v>
      </c>
      <c r="AX918" s="247">
        <v>423</v>
      </c>
      <c r="AY918" s="247">
        <v>80</v>
      </c>
      <c r="AZ918" s="247" t="s">
        <v>959</v>
      </c>
      <c r="BA918" s="248">
        <v>2.4</v>
      </c>
      <c r="BB918" s="235">
        <v>27</v>
      </c>
      <c r="BC918" s="247" t="s">
        <v>1738</v>
      </c>
      <c r="BD918" s="247">
        <v>1.9</v>
      </c>
      <c r="BE918" s="247">
        <v>2</v>
      </c>
      <c r="BF918" s="247">
        <v>2.8</v>
      </c>
      <c r="BG918" s="247">
        <v>4.0999999999999996</v>
      </c>
      <c r="BH918" s="247">
        <v>5.8</v>
      </c>
      <c r="BI918" s="247">
        <v>9.1999999999999993</v>
      </c>
      <c r="BJ918" s="247">
        <v>12.1</v>
      </c>
      <c r="BK918" s="247">
        <v>11.6</v>
      </c>
      <c r="BL918" s="247">
        <v>8.6</v>
      </c>
      <c r="BM918" s="247">
        <v>5.5</v>
      </c>
      <c r="BN918" s="247">
        <v>3.8</v>
      </c>
      <c r="BO918" s="247">
        <v>2.6</v>
      </c>
      <c r="BP918" s="248">
        <v>5.8</v>
      </c>
    </row>
    <row r="919" spans="1:68" ht="14.25" customHeight="1">
      <c r="A919" s="233">
        <v>262</v>
      </c>
      <c r="B919" s="234">
        <v>604</v>
      </c>
      <c r="C919" s="244" t="s">
        <v>1015</v>
      </c>
      <c r="D919" s="244" t="s">
        <v>1741</v>
      </c>
      <c r="E919" s="244" t="s">
        <v>1742</v>
      </c>
      <c r="F919" s="245">
        <v>-1.8</v>
      </c>
      <c r="G919" s="245">
        <v>1.6</v>
      </c>
      <c r="H919" s="245">
        <v>8.4</v>
      </c>
      <c r="I919" s="245">
        <v>16.399999999999999</v>
      </c>
      <c r="J919" s="245">
        <v>21.6</v>
      </c>
      <c r="K919" s="245">
        <v>25.6</v>
      </c>
      <c r="L919" s="245">
        <v>27.4</v>
      </c>
      <c r="M919" s="245">
        <v>25.5</v>
      </c>
      <c r="N919" s="245">
        <v>20.100000000000001</v>
      </c>
      <c r="O919" s="245">
        <v>13.1</v>
      </c>
      <c r="P919" s="245">
        <v>5.5</v>
      </c>
      <c r="Q919" s="245">
        <v>0.4</v>
      </c>
      <c r="R919" s="246">
        <v>13.7</v>
      </c>
      <c r="S919" s="233">
        <v>593</v>
      </c>
      <c r="T919" s="247" t="s">
        <v>1742</v>
      </c>
      <c r="U919" s="245">
        <v>-17</v>
      </c>
      <c r="V919" s="245">
        <v>-14</v>
      </c>
      <c r="W919" s="245">
        <v>-14</v>
      </c>
      <c r="X919" s="245" t="s">
        <v>965</v>
      </c>
      <c r="Y919" s="245">
        <v>-5</v>
      </c>
      <c r="Z919" s="245">
        <v>-24</v>
      </c>
      <c r="AA919" s="245">
        <v>7.6</v>
      </c>
      <c r="AB919" s="245">
        <v>51</v>
      </c>
      <c r="AC919" s="245" t="s">
        <v>958</v>
      </c>
      <c r="AD919" s="245">
        <v>131</v>
      </c>
      <c r="AE919" s="245">
        <v>1.8</v>
      </c>
      <c r="AF919" s="245" t="s">
        <v>933</v>
      </c>
      <c r="AG919" s="245" t="s">
        <v>931</v>
      </c>
      <c r="AH919" s="245" t="s">
        <v>956</v>
      </c>
      <c r="AI919" s="245" t="s">
        <v>956</v>
      </c>
      <c r="AJ919" s="245" t="s">
        <v>1018</v>
      </c>
      <c r="AK919" s="245" t="s">
        <v>931</v>
      </c>
      <c r="AL919" s="245">
        <v>5.4</v>
      </c>
      <c r="AM919" s="246" t="s">
        <v>931</v>
      </c>
      <c r="AN919" s="235">
        <v>594</v>
      </c>
      <c r="AO919" s="247" t="s">
        <v>1743</v>
      </c>
      <c r="AP919" s="247">
        <v>970</v>
      </c>
      <c r="AQ919" s="247">
        <v>32.299999999999997</v>
      </c>
      <c r="AR919" s="247">
        <v>35.799999999999997</v>
      </c>
      <c r="AS919" s="247">
        <v>34.799999999999997</v>
      </c>
      <c r="AT919" s="247">
        <v>42</v>
      </c>
      <c r="AU919" s="247">
        <v>15.3</v>
      </c>
      <c r="AV919" s="247" t="s">
        <v>958</v>
      </c>
      <c r="AW919" s="247" t="s">
        <v>931</v>
      </c>
      <c r="AX919" s="247" t="s">
        <v>931</v>
      </c>
      <c r="AY919" s="247" t="s">
        <v>965</v>
      </c>
      <c r="AZ919" s="247" t="s">
        <v>933</v>
      </c>
      <c r="BA919" s="248">
        <v>0</v>
      </c>
      <c r="BB919" s="235"/>
      <c r="BC919" s="247" t="s">
        <v>1742</v>
      </c>
      <c r="BD919" s="247"/>
      <c r="BE919" s="247"/>
      <c r="BF919" s="247"/>
      <c r="BG919" s="247"/>
      <c r="BH919" s="247"/>
      <c r="BI919" s="247"/>
      <c r="BJ919" s="247"/>
      <c r="BK919" s="247"/>
      <c r="BL919" s="247"/>
      <c r="BM919" s="247"/>
      <c r="BN919" s="247"/>
      <c r="BO919" s="247"/>
      <c r="BP919" s="248"/>
    </row>
    <row r="920" spans="1:68" ht="14.25" customHeight="1">
      <c r="A920" s="233">
        <v>263</v>
      </c>
      <c r="B920" s="234">
        <v>531</v>
      </c>
      <c r="C920" s="244" t="s">
        <v>960</v>
      </c>
      <c r="D920" s="244" t="s">
        <v>1078</v>
      </c>
      <c r="E920" s="244" t="s">
        <v>1744</v>
      </c>
      <c r="F920" s="245">
        <v>-20.5</v>
      </c>
      <c r="G920" s="245">
        <v>-18.600000000000001</v>
      </c>
      <c r="H920" s="245">
        <v>-10.4</v>
      </c>
      <c r="I920" s="245">
        <v>3.7</v>
      </c>
      <c r="J920" s="245">
        <v>12.8</v>
      </c>
      <c r="K920" s="245">
        <v>18.3</v>
      </c>
      <c r="L920" s="245">
        <v>20.7</v>
      </c>
      <c r="M920" s="245">
        <v>18.600000000000001</v>
      </c>
      <c r="N920" s="245">
        <v>12.4</v>
      </c>
      <c r="O920" s="245">
        <v>3.2</v>
      </c>
      <c r="P920" s="245">
        <v>-8.6999999999999993</v>
      </c>
      <c r="Q920" s="245">
        <v>-17.600000000000001</v>
      </c>
      <c r="R920" s="246">
        <v>1.2</v>
      </c>
      <c r="S920" s="233">
        <v>531</v>
      </c>
      <c r="T920" s="247" t="s">
        <v>1744</v>
      </c>
      <c r="U920" s="245">
        <v>-45</v>
      </c>
      <c r="V920" s="245">
        <v>-43</v>
      </c>
      <c r="W920" s="245">
        <v>-41</v>
      </c>
      <c r="X920" s="245">
        <v>-38</v>
      </c>
      <c r="Y920" s="245" t="s">
        <v>956</v>
      </c>
      <c r="Z920" s="245">
        <v>-50</v>
      </c>
      <c r="AA920" s="245">
        <v>12.3</v>
      </c>
      <c r="AB920" s="245">
        <v>164</v>
      </c>
      <c r="AC920" s="245">
        <v>-14</v>
      </c>
      <c r="AD920" s="245">
        <v>209</v>
      </c>
      <c r="AE920" s="245">
        <v>-10</v>
      </c>
      <c r="AF920" s="245">
        <v>222</v>
      </c>
      <c r="AG920" s="245">
        <v>-8.9</v>
      </c>
      <c r="AH920" s="245">
        <v>77</v>
      </c>
      <c r="AI920" s="245" t="s">
        <v>956</v>
      </c>
      <c r="AJ920" s="245">
        <v>143</v>
      </c>
      <c r="AK920" s="245" t="s">
        <v>931</v>
      </c>
      <c r="AL920" s="245" t="s">
        <v>931</v>
      </c>
      <c r="AM920" s="246" t="s">
        <v>931</v>
      </c>
      <c r="AN920" s="235">
        <v>531</v>
      </c>
      <c r="AO920" s="247" t="s">
        <v>1745</v>
      </c>
      <c r="AP920" s="247" t="s">
        <v>965</v>
      </c>
      <c r="AQ920" s="247" t="s">
        <v>958</v>
      </c>
      <c r="AR920" s="247" t="s">
        <v>931</v>
      </c>
      <c r="AS920" s="247">
        <v>28</v>
      </c>
      <c r="AT920" s="247">
        <v>42</v>
      </c>
      <c r="AU920" s="247">
        <v>15.4</v>
      </c>
      <c r="AV920" s="247">
        <v>56</v>
      </c>
      <c r="AW920" s="247" t="s">
        <v>931</v>
      </c>
      <c r="AX920" s="247">
        <v>187</v>
      </c>
      <c r="AY920" s="247" t="s">
        <v>965</v>
      </c>
      <c r="AZ920" s="247" t="s">
        <v>933</v>
      </c>
      <c r="BA920" s="248" t="s">
        <v>934</v>
      </c>
      <c r="BB920" s="235"/>
      <c r="BC920" s="247" t="s">
        <v>1744</v>
      </c>
      <c r="BD920" s="247"/>
      <c r="BE920" s="247"/>
      <c r="BF920" s="247"/>
      <c r="BG920" s="247"/>
      <c r="BH920" s="247"/>
      <c r="BI920" s="247"/>
      <c r="BJ920" s="247"/>
      <c r="BK920" s="247"/>
      <c r="BL920" s="247"/>
      <c r="BM920" s="247"/>
      <c r="BN920" s="247"/>
      <c r="BO920" s="247"/>
      <c r="BP920" s="248"/>
    </row>
    <row r="921" spans="1:68" ht="14.25" customHeight="1">
      <c r="A921" s="233">
        <v>264</v>
      </c>
      <c r="B921" s="234">
        <v>523</v>
      </c>
      <c r="C921" s="244" t="s">
        <v>960</v>
      </c>
      <c r="D921" s="244" t="s">
        <v>1746</v>
      </c>
      <c r="E921" s="244" t="s">
        <v>1747</v>
      </c>
      <c r="F921" s="245">
        <v>-15.8</v>
      </c>
      <c r="G921" s="245">
        <v>-15.3</v>
      </c>
      <c r="H921" s="245">
        <v>-9.1999999999999993</v>
      </c>
      <c r="I921" s="245">
        <v>3.3</v>
      </c>
      <c r="J921" s="245">
        <v>12.1</v>
      </c>
      <c r="K921" s="245">
        <v>17.8</v>
      </c>
      <c r="L921" s="245">
        <v>19.8</v>
      </c>
      <c r="M921" s="245">
        <v>17.100000000000001</v>
      </c>
      <c r="N921" s="245">
        <v>11.5</v>
      </c>
      <c r="O921" s="245">
        <v>2.8</v>
      </c>
      <c r="P921" s="245">
        <v>-6.7</v>
      </c>
      <c r="Q921" s="245">
        <v>-13.4</v>
      </c>
      <c r="R921" s="246">
        <v>2</v>
      </c>
      <c r="S921" s="233">
        <v>523</v>
      </c>
      <c r="T921" s="247" t="s">
        <v>1747</v>
      </c>
      <c r="U921" s="245">
        <v>-39</v>
      </c>
      <c r="V921" s="245">
        <v>-36</v>
      </c>
      <c r="W921" s="245">
        <v>-37</v>
      </c>
      <c r="X921" s="245">
        <v>-33</v>
      </c>
      <c r="Y921" s="245" t="s">
        <v>956</v>
      </c>
      <c r="Z921" s="245">
        <v>-46</v>
      </c>
      <c r="AA921" s="245">
        <v>8.5</v>
      </c>
      <c r="AB921" s="245">
        <v>167</v>
      </c>
      <c r="AC921" s="245">
        <v>-11</v>
      </c>
      <c r="AD921" s="245">
        <v>215</v>
      </c>
      <c r="AE921" s="245">
        <v>-7.5</v>
      </c>
      <c r="AF921" s="245">
        <v>228</v>
      </c>
      <c r="AG921" s="245">
        <v>-6.5</v>
      </c>
      <c r="AH921" s="245" t="s">
        <v>956</v>
      </c>
      <c r="AI921" s="245" t="s">
        <v>956</v>
      </c>
      <c r="AJ921" s="245">
        <v>60</v>
      </c>
      <c r="AK921" s="245" t="s">
        <v>971</v>
      </c>
      <c r="AL921" s="245">
        <v>7.9</v>
      </c>
      <c r="AM921" s="246">
        <v>5.9</v>
      </c>
      <c r="AN921" s="235">
        <v>523</v>
      </c>
      <c r="AO921" s="247" t="s">
        <v>1748</v>
      </c>
      <c r="AP921" s="247" t="s">
        <v>965</v>
      </c>
      <c r="AQ921" s="247" t="s">
        <v>958</v>
      </c>
      <c r="AR921" s="247" t="s">
        <v>931</v>
      </c>
      <c r="AS921" s="247">
        <v>25.8</v>
      </c>
      <c r="AT921" s="247">
        <v>38</v>
      </c>
      <c r="AU921" s="247">
        <v>14.4</v>
      </c>
      <c r="AV921" s="247" t="s">
        <v>958</v>
      </c>
      <c r="AW921" s="247" t="s">
        <v>931</v>
      </c>
      <c r="AX921" s="247">
        <v>250</v>
      </c>
      <c r="AY921" s="247" t="s">
        <v>965</v>
      </c>
      <c r="AZ921" s="247" t="s">
        <v>952</v>
      </c>
      <c r="BA921" s="248">
        <v>4.5</v>
      </c>
      <c r="BB921" s="235"/>
      <c r="BC921" s="247" t="s">
        <v>1747</v>
      </c>
      <c r="BD921" s="247"/>
      <c r="BE921" s="247"/>
      <c r="BF921" s="247"/>
      <c r="BG921" s="247"/>
      <c r="BH921" s="247"/>
      <c r="BI921" s="247"/>
      <c r="BJ921" s="247"/>
      <c r="BK921" s="247"/>
      <c r="BL921" s="247"/>
      <c r="BM921" s="247"/>
      <c r="BN921" s="247"/>
      <c r="BO921" s="247"/>
      <c r="BP921" s="248"/>
    </row>
    <row r="922" spans="1:68" ht="14.25" customHeight="1">
      <c r="A922" s="233">
        <v>265</v>
      </c>
      <c r="B922" s="234">
        <v>318</v>
      </c>
      <c r="C922" s="244" t="s">
        <v>928</v>
      </c>
      <c r="D922" s="244" t="s">
        <v>987</v>
      </c>
      <c r="E922" s="244" t="s">
        <v>1749</v>
      </c>
      <c r="F922" s="245">
        <v>-20.7</v>
      </c>
      <c r="G922" s="245">
        <v>-18.7</v>
      </c>
      <c r="H922" s="245">
        <v>-10.8</v>
      </c>
      <c r="I922" s="245">
        <v>-0.7</v>
      </c>
      <c r="J922" s="245">
        <v>7.3</v>
      </c>
      <c r="K922" s="245">
        <v>15.2</v>
      </c>
      <c r="L922" s="245">
        <v>18</v>
      </c>
      <c r="M922" s="245">
        <v>14.4</v>
      </c>
      <c r="N922" s="245">
        <v>8.6999999999999993</v>
      </c>
      <c r="O922" s="245">
        <v>0.1</v>
      </c>
      <c r="P922" s="245">
        <v>-11.4</v>
      </c>
      <c r="Q922" s="245">
        <v>-19.399999999999999</v>
      </c>
      <c r="R922" s="246">
        <v>-1.5</v>
      </c>
      <c r="S922" s="233">
        <v>318</v>
      </c>
      <c r="T922" s="247" t="s">
        <v>1750</v>
      </c>
      <c r="U922" s="245">
        <v>-47</v>
      </c>
      <c r="V922" s="245">
        <v>-45</v>
      </c>
      <c r="W922" s="245">
        <v>-44</v>
      </c>
      <c r="X922" s="245">
        <v>-42</v>
      </c>
      <c r="Y922" s="245">
        <v>-26</v>
      </c>
      <c r="Z922" s="245">
        <v>-51</v>
      </c>
      <c r="AA922" s="245">
        <v>8.6999999999999993</v>
      </c>
      <c r="AB922" s="245">
        <v>184</v>
      </c>
      <c r="AC922" s="245">
        <v>-13.4</v>
      </c>
      <c r="AD922" s="245">
        <v>243</v>
      </c>
      <c r="AE922" s="245">
        <v>-9.1</v>
      </c>
      <c r="AF922" s="245">
        <v>260</v>
      </c>
      <c r="AG922" s="245">
        <v>-7.9</v>
      </c>
      <c r="AH922" s="245">
        <v>80</v>
      </c>
      <c r="AI922" s="245">
        <v>79</v>
      </c>
      <c r="AJ922" s="245">
        <v>119</v>
      </c>
      <c r="AK922" s="245" t="s">
        <v>963</v>
      </c>
      <c r="AL922" s="245">
        <v>4.8</v>
      </c>
      <c r="AM922" s="246" t="s">
        <v>931</v>
      </c>
      <c r="AN922" s="235">
        <v>318</v>
      </c>
      <c r="AO922" s="247" t="s">
        <v>1751</v>
      </c>
      <c r="AP922" s="247">
        <v>1000</v>
      </c>
      <c r="AQ922" s="247">
        <v>21.5</v>
      </c>
      <c r="AR922" s="247">
        <v>25.3</v>
      </c>
      <c r="AS922" s="247">
        <v>23.6</v>
      </c>
      <c r="AT922" s="247">
        <v>35</v>
      </c>
      <c r="AU922" s="247">
        <v>11.1</v>
      </c>
      <c r="AV922" s="247">
        <v>72</v>
      </c>
      <c r="AW922" s="247">
        <v>58</v>
      </c>
      <c r="AX922" s="247">
        <v>392</v>
      </c>
      <c r="AY922" s="247">
        <v>64</v>
      </c>
      <c r="AZ922" s="247" t="s">
        <v>959</v>
      </c>
      <c r="BA922" s="248">
        <v>0</v>
      </c>
      <c r="BB922" s="235">
        <v>286</v>
      </c>
      <c r="BC922" s="247" t="s">
        <v>1749</v>
      </c>
      <c r="BD922" s="247">
        <v>1.3</v>
      </c>
      <c r="BE922" s="247">
        <v>1.4</v>
      </c>
      <c r="BF922" s="247">
        <v>2.2999999999999998</v>
      </c>
      <c r="BG922" s="247">
        <v>4.0999999999999996</v>
      </c>
      <c r="BH922" s="247">
        <v>6.5</v>
      </c>
      <c r="BI922" s="247">
        <v>11.4</v>
      </c>
      <c r="BJ922" s="247">
        <v>14.9</v>
      </c>
      <c r="BK922" s="247">
        <v>13</v>
      </c>
      <c r="BL922" s="247">
        <v>8.9</v>
      </c>
      <c r="BM922" s="247">
        <v>5</v>
      </c>
      <c r="BN922" s="247">
        <v>2.6</v>
      </c>
      <c r="BO922" s="247">
        <v>1.5</v>
      </c>
      <c r="BP922" s="248">
        <v>6.1</v>
      </c>
    </row>
    <row r="923" spans="1:68" ht="14.25" customHeight="1">
      <c r="A923" s="233">
        <v>266</v>
      </c>
      <c r="B923" s="234">
        <v>611</v>
      </c>
      <c r="C923" s="244" t="s">
        <v>953</v>
      </c>
      <c r="D923" s="244" t="s">
        <v>1455</v>
      </c>
      <c r="E923" s="244" t="s">
        <v>1752</v>
      </c>
      <c r="F923" s="245">
        <v>-5.6</v>
      </c>
      <c r="G923" s="245">
        <v>-4.2</v>
      </c>
      <c r="H923" s="245">
        <v>0.7</v>
      </c>
      <c r="I923" s="245">
        <v>9.1</v>
      </c>
      <c r="J923" s="245">
        <v>15.5</v>
      </c>
      <c r="K923" s="245">
        <v>18.899999999999999</v>
      </c>
      <c r="L923" s="245">
        <v>20.5</v>
      </c>
      <c r="M923" s="245">
        <v>19.8</v>
      </c>
      <c r="N923" s="245">
        <v>14.7</v>
      </c>
      <c r="O923" s="245">
        <v>8</v>
      </c>
      <c r="P923" s="245">
        <v>2.4</v>
      </c>
      <c r="Q923" s="245">
        <v>-2.1</v>
      </c>
      <c r="R923" s="246">
        <v>8.1</v>
      </c>
      <c r="S923" s="233">
        <v>600</v>
      </c>
      <c r="T923" s="247" t="s">
        <v>1752</v>
      </c>
      <c r="U923" s="245">
        <v>-27</v>
      </c>
      <c r="V923" s="245">
        <v>-25</v>
      </c>
      <c r="W923" s="245">
        <v>-22</v>
      </c>
      <c r="X923" s="245">
        <v>-20</v>
      </c>
      <c r="Y923" s="245">
        <v>-8</v>
      </c>
      <c r="Z923" s="245">
        <v>-34</v>
      </c>
      <c r="AA923" s="245" t="s">
        <v>956</v>
      </c>
      <c r="AB923" s="245">
        <v>100</v>
      </c>
      <c r="AC923" s="245">
        <v>-3.7</v>
      </c>
      <c r="AD923" s="245">
        <v>175</v>
      </c>
      <c r="AE923" s="245">
        <v>-0.6</v>
      </c>
      <c r="AF923" s="245">
        <v>191</v>
      </c>
      <c r="AG923" s="245">
        <v>0.2</v>
      </c>
      <c r="AH923" s="245" t="s">
        <v>956</v>
      </c>
      <c r="AI923" s="245" t="s">
        <v>956</v>
      </c>
      <c r="AJ923" s="245">
        <v>180</v>
      </c>
      <c r="AK923" s="245" t="s">
        <v>938</v>
      </c>
      <c r="AL923" s="245" t="s">
        <v>931</v>
      </c>
      <c r="AM923" s="246" t="s">
        <v>931</v>
      </c>
      <c r="AN923" s="235">
        <v>601</v>
      </c>
      <c r="AO923" s="247" t="s">
        <v>1753</v>
      </c>
      <c r="AP923" s="247">
        <v>1005</v>
      </c>
      <c r="AQ923" s="247">
        <v>30</v>
      </c>
      <c r="AR923" s="247">
        <v>26</v>
      </c>
      <c r="AS923" s="247">
        <v>26.5</v>
      </c>
      <c r="AT923" s="247">
        <v>39</v>
      </c>
      <c r="AU923" s="247" t="s">
        <v>934</v>
      </c>
      <c r="AV923" s="247" t="s">
        <v>958</v>
      </c>
      <c r="AW923" s="247" t="s">
        <v>931</v>
      </c>
      <c r="AX923" s="247" t="s">
        <v>931</v>
      </c>
      <c r="AY923" s="247">
        <v>91</v>
      </c>
      <c r="AZ923" s="247" t="s">
        <v>1005</v>
      </c>
      <c r="BA923" s="248">
        <v>1.8</v>
      </c>
      <c r="BB923" s="235"/>
      <c r="BC923" s="247" t="s">
        <v>1752</v>
      </c>
      <c r="BD923" s="247"/>
      <c r="BE923" s="247"/>
      <c r="BF923" s="247"/>
      <c r="BG923" s="247"/>
      <c r="BH923" s="247"/>
      <c r="BI923" s="247"/>
      <c r="BJ923" s="247"/>
      <c r="BK923" s="247"/>
      <c r="BL923" s="247"/>
      <c r="BM923" s="247"/>
      <c r="BN923" s="247"/>
      <c r="BO923" s="247"/>
      <c r="BP923" s="248"/>
    </row>
    <row r="924" spans="1:68" ht="14.25" customHeight="1">
      <c r="A924" s="233">
        <v>267</v>
      </c>
      <c r="B924" s="234">
        <v>356</v>
      </c>
      <c r="C924" s="244" t="s">
        <v>928</v>
      </c>
      <c r="D924" s="244" t="s">
        <v>1081</v>
      </c>
      <c r="E924" s="244" t="s">
        <v>175</v>
      </c>
      <c r="F924" s="245">
        <v>-25.6</v>
      </c>
      <c r="G924" s="245">
        <v>-20.3</v>
      </c>
      <c r="H924" s="245">
        <v>-10.1</v>
      </c>
      <c r="I924" s="245">
        <v>1.3</v>
      </c>
      <c r="J924" s="245">
        <v>8.6999999999999993</v>
      </c>
      <c r="K924" s="245">
        <v>15.6</v>
      </c>
      <c r="L924" s="245">
        <v>19.899999999999999</v>
      </c>
      <c r="M924" s="245">
        <v>18.7</v>
      </c>
      <c r="N924" s="245">
        <v>12.6</v>
      </c>
      <c r="O924" s="245">
        <v>3</v>
      </c>
      <c r="P924" s="245">
        <v>-10.7</v>
      </c>
      <c r="Q924" s="245">
        <v>-22</v>
      </c>
      <c r="R924" s="246">
        <v>-0.7</v>
      </c>
      <c r="S924" s="233">
        <v>356</v>
      </c>
      <c r="T924" s="247" t="s">
        <v>1754</v>
      </c>
      <c r="U924" s="245">
        <v>-38</v>
      </c>
      <c r="V924" s="245">
        <v>-37</v>
      </c>
      <c r="W924" s="245">
        <v>-37</v>
      </c>
      <c r="X924" s="245">
        <v>-35</v>
      </c>
      <c r="Y924" s="245">
        <v>-31</v>
      </c>
      <c r="Z924" s="245">
        <v>-45</v>
      </c>
      <c r="AA924" s="245">
        <v>9.9</v>
      </c>
      <c r="AB924" s="245">
        <v>171</v>
      </c>
      <c r="AC924" s="245">
        <v>-15.4</v>
      </c>
      <c r="AD924" s="245">
        <v>223</v>
      </c>
      <c r="AE924" s="245">
        <v>-10.8</v>
      </c>
      <c r="AF924" s="245">
        <v>238</v>
      </c>
      <c r="AG924" s="245">
        <v>-9.5</v>
      </c>
      <c r="AH924" s="245">
        <v>79</v>
      </c>
      <c r="AI924" s="245">
        <v>77</v>
      </c>
      <c r="AJ924" s="245">
        <v>93</v>
      </c>
      <c r="AK924" s="245" t="s">
        <v>963</v>
      </c>
      <c r="AL924" s="245">
        <v>5.7</v>
      </c>
      <c r="AM924" s="246">
        <v>3.9</v>
      </c>
      <c r="AN924" s="235">
        <v>356</v>
      </c>
      <c r="AO924" s="247" t="s">
        <v>1755</v>
      </c>
      <c r="AP924" s="247">
        <v>1005</v>
      </c>
      <c r="AQ924" s="247">
        <v>22.8</v>
      </c>
      <c r="AR924" s="247">
        <v>26.9</v>
      </c>
      <c r="AS924" s="247">
        <v>25.2</v>
      </c>
      <c r="AT924" s="247">
        <v>35</v>
      </c>
      <c r="AU924" s="247">
        <v>9.9</v>
      </c>
      <c r="AV924" s="247">
        <v>78</v>
      </c>
      <c r="AW924" s="247">
        <v>67</v>
      </c>
      <c r="AX924" s="247">
        <v>484</v>
      </c>
      <c r="AY924" s="247">
        <v>95</v>
      </c>
      <c r="AZ924" s="247" t="s">
        <v>973</v>
      </c>
      <c r="BA924" s="248">
        <v>0</v>
      </c>
      <c r="BB924" s="235">
        <v>321</v>
      </c>
      <c r="BC924" s="247" t="s">
        <v>175</v>
      </c>
      <c r="BD924" s="247">
        <v>0.7</v>
      </c>
      <c r="BE924" s="247">
        <v>1</v>
      </c>
      <c r="BF924" s="247">
        <v>2.2000000000000002</v>
      </c>
      <c r="BG924" s="247">
        <v>4.5999999999999996</v>
      </c>
      <c r="BH924" s="247">
        <v>7.7</v>
      </c>
      <c r="BI924" s="247">
        <v>13.3</v>
      </c>
      <c r="BJ924" s="247">
        <v>18.2</v>
      </c>
      <c r="BK924" s="247">
        <v>17.3</v>
      </c>
      <c r="BL924" s="247">
        <v>11.5</v>
      </c>
      <c r="BM924" s="247">
        <v>5.7</v>
      </c>
      <c r="BN924" s="247">
        <v>2.2999999999999998</v>
      </c>
      <c r="BO924" s="247">
        <v>1</v>
      </c>
      <c r="BP924" s="248">
        <v>7.1</v>
      </c>
    </row>
    <row r="925" spans="1:68" ht="14.25" customHeight="1">
      <c r="A925" s="233">
        <v>268</v>
      </c>
      <c r="B925" s="234">
        <v>326</v>
      </c>
      <c r="C925" s="244" t="s">
        <v>928</v>
      </c>
      <c r="D925" s="244" t="s">
        <v>1161</v>
      </c>
      <c r="E925" s="244" t="s">
        <v>1756</v>
      </c>
      <c r="F925" s="245">
        <v>-19.8</v>
      </c>
      <c r="G925" s="245">
        <v>-18.399999999999999</v>
      </c>
      <c r="H925" s="245">
        <v>-10.1</v>
      </c>
      <c r="I925" s="245">
        <v>0.1</v>
      </c>
      <c r="J925" s="245">
        <v>8.4</v>
      </c>
      <c r="K925" s="245">
        <v>14.9</v>
      </c>
      <c r="L925" s="245">
        <v>18.7</v>
      </c>
      <c r="M925" s="245">
        <v>14.7</v>
      </c>
      <c r="N925" s="245">
        <v>8.9</v>
      </c>
      <c r="O925" s="245">
        <v>-0.6</v>
      </c>
      <c r="P925" s="245">
        <v>-10.199999999999999</v>
      </c>
      <c r="Q925" s="245">
        <v>-16.3</v>
      </c>
      <c r="R925" s="246">
        <v>-0.8</v>
      </c>
      <c r="S925" s="233">
        <v>326</v>
      </c>
      <c r="T925" s="247" t="s">
        <v>1757</v>
      </c>
      <c r="U925" s="245">
        <v>-47</v>
      </c>
      <c r="V925" s="245">
        <v>-44</v>
      </c>
      <c r="W925" s="245">
        <v>-44</v>
      </c>
      <c r="X925" s="245">
        <v>-40</v>
      </c>
      <c r="Y925" s="245">
        <v>-25</v>
      </c>
      <c r="Z925" s="245">
        <v>-49</v>
      </c>
      <c r="AA925" s="245">
        <v>8.9</v>
      </c>
      <c r="AB925" s="245">
        <v>183</v>
      </c>
      <c r="AC925" s="245">
        <v>-12.3</v>
      </c>
      <c r="AD925" s="245">
        <v>238</v>
      </c>
      <c r="AE925" s="245">
        <v>-8.6</v>
      </c>
      <c r="AF925" s="245">
        <v>256</v>
      </c>
      <c r="AG925" s="245">
        <v>-7.4</v>
      </c>
      <c r="AH925" s="245">
        <v>84</v>
      </c>
      <c r="AI925" s="245">
        <v>84</v>
      </c>
      <c r="AJ925" s="245">
        <v>107</v>
      </c>
      <c r="AK925" s="245" t="s">
        <v>963</v>
      </c>
      <c r="AL925" s="245">
        <v>4.7</v>
      </c>
      <c r="AM925" s="246">
        <v>3.8</v>
      </c>
      <c r="AN925" s="235">
        <v>326</v>
      </c>
      <c r="AO925" s="247" t="s">
        <v>1758</v>
      </c>
      <c r="AP925" s="247">
        <v>1005</v>
      </c>
      <c r="AQ925" s="247">
        <v>21.6</v>
      </c>
      <c r="AR925" s="247">
        <v>25.8</v>
      </c>
      <c r="AS925" s="247">
        <v>24</v>
      </c>
      <c r="AT925" s="247">
        <v>36</v>
      </c>
      <c r="AU925" s="247">
        <v>10.3</v>
      </c>
      <c r="AV925" s="247">
        <v>69</v>
      </c>
      <c r="AW925" s="247">
        <v>54</v>
      </c>
      <c r="AX925" s="247">
        <v>359</v>
      </c>
      <c r="AY925" s="247" t="s">
        <v>965</v>
      </c>
      <c r="AZ925" s="247" t="s">
        <v>959</v>
      </c>
      <c r="BA925" s="248">
        <v>4</v>
      </c>
      <c r="BB925" s="235">
        <v>294</v>
      </c>
      <c r="BC925" s="247" t="s">
        <v>1756</v>
      </c>
      <c r="BD925" s="247">
        <v>1.4</v>
      </c>
      <c r="BE925" s="247">
        <v>1.5</v>
      </c>
      <c r="BF925" s="247">
        <v>2.6</v>
      </c>
      <c r="BG925" s="247">
        <v>4.5</v>
      </c>
      <c r="BH925" s="247">
        <v>7.1</v>
      </c>
      <c r="BI925" s="247">
        <v>10.7</v>
      </c>
      <c r="BJ925" s="247">
        <v>14.5</v>
      </c>
      <c r="BK925" s="247">
        <v>12.7</v>
      </c>
      <c r="BL925" s="247">
        <v>9.1999999999999993</v>
      </c>
      <c r="BM925" s="247">
        <v>5.2</v>
      </c>
      <c r="BN925" s="247">
        <v>3.1</v>
      </c>
      <c r="BO925" s="247">
        <v>1.9</v>
      </c>
      <c r="BP925" s="248">
        <v>6.2</v>
      </c>
    </row>
    <row r="926" spans="1:68" ht="14.25" customHeight="1">
      <c r="A926" s="233">
        <v>269</v>
      </c>
      <c r="B926" s="234">
        <v>141</v>
      </c>
      <c r="C926" s="244" t="s">
        <v>928</v>
      </c>
      <c r="D926" s="244" t="s">
        <v>1677</v>
      </c>
      <c r="E926" s="244" t="s">
        <v>1759</v>
      </c>
      <c r="F926" s="245">
        <v>-19.100000000000001</v>
      </c>
      <c r="G926" s="245">
        <v>-16.3</v>
      </c>
      <c r="H926" s="245">
        <v>-8.6</v>
      </c>
      <c r="I926" s="245">
        <v>0.9</v>
      </c>
      <c r="J926" s="245">
        <v>9.1</v>
      </c>
      <c r="K926" s="245">
        <v>15.2</v>
      </c>
      <c r="L926" s="245">
        <v>17.399999999999999</v>
      </c>
      <c r="M926" s="245">
        <v>14.5</v>
      </c>
      <c r="N926" s="245">
        <v>8.6</v>
      </c>
      <c r="O926" s="245">
        <v>1.4</v>
      </c>
      <c r="P926" s="245">
        <v>-9.4</v>
      </c>
      <c r="Q926" s="245">
        <v>-17</v>
      </c>
      <c r="R926" s="246">
        <v>-0.3</v>
      </c>
      <c r="S926" s="233">
        <v>141</v>
      </c>
      <c r="T926" s="247" t="s">
        <v>1760</v>
      </c>
      <c r="U926" s="245">
        <v>-46</v>
      </c>
      <c r="V926" s="245">
        <v>-44</v>
      </c>
      <c r="W926" s="245">
        <v>-43</v>
      </c>
      <c r="X926" s="245">
        <v>-40</v>
      </c>
      <c r="Y926" s="245">
        <v>-24</v>
      </c>
      <c r="Z926" s="245">
        <v>-52</v>
      </c>
      <c r="AA926" s="245">
        <v>13.6</v>
      </c>
      <c r="AB926" s="245">
        <v>175</v>
      </c>
      <c r="AC926" s="245">
        <v>-12</v>
      </c>
      <c r="AD926" s="245">
        <v>236</v>
      </c>
      <c r="AE926" s="245">
        <v>-7.8</v>
      </c>
      <c r="AF926" s="245">
        <v>254</v>
      </c>
      <c r="AG926" s="245">
        <v>-6.6</v>
      </c>
      <c r="AH926" s="245">
        <v>82</v>
      </c>
      <c r="AI926" s="245">
        <v>74</v>
      </c>
      <c r="AJ926" s="245">
        <v>315</v>
      </c>
      <c r="AK926" s="245" t="s">
        <v>971</v>
      </c>
      <c r="AL926" s="245">
        <v>3.6</v>
      </c>
      <c r="AM926" s="246">
        <v>1.5</v>
      </c>
      <c r="AN926" s="235">
        <v>141</v>
      </c>
      <c r="AO926" s="247" t="s">
        <v>1761</v>
      </c>
      <c r="AP926" s="247">
        <v>970</v>
      </c>
      <c r="AQ926" s="247">
        <v>22.3</v>
      </c>
      <c r="AR926" s="247">
        <v>26.5</v>
      </c>
      <c r="AS926" s="247">
        <v>24.7</v>
      </c>
      <c r="AT926" s="247">
        <v>38</v>
      </c>
      <c r="AU926" s="247">
        <v>14.4</v>
      </c>
      <c r="AV926" s="247">
        <v>79</v>
      </c>
      <c r="AW926" s="247">
        <v>59</v>
      </c>
      <c r="AX926" s="247">
        <v>636</v>
      </c>
      <c r="AY926" s="247">
        <v>72</v>
      </c>
      <c r="AZ926" s="247" t="s">
        <v>973</v>
      </c>
      <c r="BA926" s="248">
        <v>0</v>
      </c>
      <c r="BB926" s="235">
        <v>124</v>
      </c>
      <c r="BC926" s="247" t="s">
        <v>1759</v>
      </c>
      <c r="BD926" s="247">
        <v>1.4</v>
      </c>
      <c r="BE926" s="247">
        <v>1.7</v>
      </c>
      <c r="BF926" s="247">
        <v>2.6</v>
      </c>
      <c r="BG926" s="247">
        <v>4.7</v>
      </c>
      <c r="BH926" s="247">
        <v>7.7</v>
      </c>
      <c r="BI926" s="247">
        <v>12.7</v>
      </c>
      <c r="BJ926" s="247">
        <v>15.3</v>
      </c>
      <c r="BK926" s="247">
        <v>13.4</v>
      </c>
      <c r="BL926" s="247">
        <v>9</v>
      </c>
      <c r="BM926" s="247">
        <v>5.4</v>
      </c>
      <c r="BN926" s="247">
        <v>2.9</v>
      </c>
      <c r="BO926" s="247">
        <v>1.8</v>
      </c>
      <c r="BP926" s="248">
        <v>6.6</v>
      </c>
    </row>
    <row r="927" spans="1:68" ht="14.25" customHeight="1">
      <c r="A927" s="233">
        <v>270</v>
      </c>
      <c r="B927" s="234">
        <v>290</v>
      </c>
      <c r="C927" s="244" t="s">
        <v>928</v>
      </c>
      <c r="D927" s="244" t="s">
        <v>992</v>
      </c>
      <c r="E927" s="244" t="s">
        <v>1762</v>
      </c>
      <c r="F927" s="245">
        <v>-10.7</v>
      </c>
      <c r="G927" s="245">
        <v>-10.1</v>
      </c>
      <c r="H927" s="245">
        <v>-5.3</v>
      </c>
      <c r="I927" s="245">
        <v>1.2</v>
      </c>
      <c r="J927" s="245">
        <v>5.6</v>
      </c>
      <c r="K927" s="245">
        <v>10</v>
      </c>
      <c r="L927" s="245">
        <v>14.5</v>
      </c>
      <c r="M927" s="245">
        <v>16.899999999999999</v>
      </c>
      <c r="N927" s="245">
        <v>13.7</v>
      </c>
      <c r="O927" s="245">
        <v>7.4</v>
      </c>
      <c r="P927" s="245">
        <v>-0.4</v>
      </c>
      <c r="Q927" s="245">
        <v>-6.8</v>
      </c>
      <c r="R927" s="246">
        <v>3</v>
      </c>
      <c r="S927" s="233">
        <v>290</v>
      </c>
      <c r="T927" s="247" t="s">
        <v>1763</v>
      </c>
      <c r="U927" s="245">
        <v>-25</v>
      </c>
      <c r="V927" s="245">
        <v>-23</v>
      </c>
      <c r="W927" s="245">
        <v>-23</v>
      </c>
      <c r="X927" s="245">
        <v>-20</v>
      </c>
      <c r="Y927" s="245">
        <v>-16</v>
      </c>
      <c r="Z927" s="245">
        <v>-33</v>
      </c>
      <c r="AA927" s="245">
        <v>8</v>
      </c>
      <c r="AB927" s="245">
        <v>147</v>
      </c>
      <c r="AC927" s="245">
        <v>-6.7</v>
      </c>
      <c r="AD927" s="245">
        <v>232</v>
      </c>
      <c r="AE927" s="245">
        <v>-2.7</v>
      </c>
      <c r="AF927" s="245">
        <v>255</v>
      </c>
      <c r="AG927" s="245">
        <v>-1.9</v>
      </c>
      <c r="AH927" s="245">
        <v>76</v>
      </c>
      <c r="AI927" s="245">
        <v>66</v>
      </c>
      <c r="AJ927" s="245">
        <v>223</v>
      </c>
      <c r="AK927" s="245" t="s">
        <v>996</v>
      </c>
      <c r="AL927" s="245">
        <v>5.6</v>
      </c>
      <c r="AM927" s="246">
        <v>4.7</v>
      </c>
      <c r="AN927" s="235">
        <v>284</v>
      </c>
      <c r="AO927" s="247" t="s">
        <v>1764</v>
      </c>
      <c r="AP927" s="247">
        <v>1010</v>
      </c>
      <c r="AQ927" s="247">
        <v>18.399999999999999</v>
      </c>
      <c r="AR927" s="247">
        <v>22.8</v>
      </c>
      <c r="AS927" s="247">
        <v>20.8</v>
      </c>
      <c r="AT927" s="247">
        <v>30</v>
      </c>
      <c r="AU927" s="247">
        <v>7.2</v>
      </c>
      <c r="AV927" s="247">
        <v>88</v>
      </c>
      <c r="AW927" s="247">
        <v>80</v>
      </c>
      <c r="AX927" s="247">
        <v>546</v>
      </c>
      <c r="AY927" s="247">
        <v>86</v>
      </c>
      <c r="AZ927" s="247" t="s">
        <v>940</v>
      </c>
      <c r="BA927" s="248">
        <v>0</v>
      </c>
      <c r="BB927" s="235">
        <v>255</v>
      </c>
      <c r="BC927" s="247" t="s">
        <v>1762</v>
      </c>
      <c r="BD927" s="247">
        <v>2.1</v>
      </c>
      <c r="BE927" s="247">
        <v>2.2000000000000002</v>
      </c>
      <c r="BF927" s="247">
        <v>3.3</v>
      </c>
      <c r="BG927" s="247">
        <v>5.4</v>
      </c>
      <c r="BH927" s="247">
        <v>7.5</v>
      </c>
      <c r="BI927" s="247">
        <v>10.7</v>
      </c>
      <c r="BJ927" s="247">
        <v>15.1</v>
      </c>
      <c r="BK927" s="247">
        <v>16.8</v>
      </c>
      <c r="BL927" s="247">
        <v>13.2</v>
      </c>
      <c r="BM927" s="247">
        <v>8.1999999999999993</v>
      </c>
      <c r="BN927" s="247">
        <v>4.7</v>
      </c>
      <c r="BO927" s="247">
        <v>3.1</v>
      </c>
      <c r="BP927" s="248">
        <v>7.7</v>
      </c>
    </row>
    <row r="928" spans="1:68" ht="14.25" customHeight="1">
      <c r="A928" s="233">
        <v>271</v>
      </c>
      <c r="B928" s="234">
        <v>116</v>
      </c>
      <c r="C928" s="244" t="s">
        <v>928</v>
      </c>
      <c r="D928" s="244" t="s">
        <v>1023</v>
      </c>
      <c r="E928" s="244" t="s">
        <v>1765</v>
      </c>
      <c r="F928" s="245">
        <v>-13.6</v>
      </c>
      <c r="G928" s="245">
        <v>-16.100000000000001</v>
      </c>
      <c r="H928" s="245">
        <v>-12.7</v>
      </c>
      <c r="I928" s="245">
        <v>-6.5</v>
      </c>
      <c r="J928" s="245">
        <v>0.5</v>
      </c>
      <c r="K928" s="245">
        <v>7.4</v>
      </c>
      <c r="L928" s="245">
        <v>12.1</v>
      </c>
      <c r="M928" s="245">
        <v>12</v>
      </c>
      <c r="N928" s="245">
        <v>7.4</v>
      </c>
      <c r="O928" s="245">
        <v>-2</v>
      </c>
      <c r="P928" s="245">
        <v>-9.5</v>
      </c>
      <c r="Q928" s="245">
        <v>-14</v>
      </c>
      <c r="R928" s="246">
        <v>-2.9</v>
      </c>
      <c r="S928" s="233">
        <v>116</v>
      </c>
      <c r="T928" s="247" t="s">
        <v>1766</v>
      </c>
      <c r="U928" s="245">
        <v>-36</v>
      </c>
      <c r="V928" s="245">
        <v>-34</v>
      </c>
      <c r="W928" s="245">
        <v>-32</v>
      </c>
      <c r="X928" s="245">
        <v>-30</v>
      </c>
      <c r="Y928" s="245">
        <v>-21</v>
      </c>
      <c r="Z928" s="245">
        <v>-41</v>
      </c>
      <c r="AA928" s="245">
        <v>5.8</v>
      </c>
      <c r="AB928" s="245">
        <v>216</v>
      </c>
      <c r="AC928" s="245">
        <v>-10.199999999999999</v>
      </c>
      <c r="AD928" s="245">
        <v>281</v>
      </c>
      <c r="AE928" s="245">
        <v>-6.9</v>
      </c>
      <c r="AF928" s="245">
        <v>307</v>
      </c>
      <c r="AG928" s="245">
        <v>-5.6</v>
      </c>
      <c r="AH928" s="245">
        <v>68</v>
      </c>
      <c r="AI928" s="245">
        <v>67</v>
      </c>
      <c r="AJ928" s="245" t="s">
        <v>1018</v>
      </c>
      <c r="AK928" s="245" t="s">
        <v>996</v>
      </c>
      <c r="AL928" s="245" t="s">
        <v>931</v>
      </c>
      <c r="AM928" s="246">
        <v>6.9</v>
      </c>
      <c r="AN928" s="235">
        <v>116</v>
      </c>
      <c r="AO928" s="247" t="s">
        <v>1767</v>
      </c>
      <c r="AP928" s="247">
        <v>1010</v>
      </c>
      <c r="AQ928" s="247">
        <v>13.2</v>
      </c>
      <c r="AR928" s="247">
        <v>16</v>
      </c>
      <c r="AS928" s="247">
        <v>15.5</v>
      </c>
      <c r="AT928" s="247">
        <v>29</v>
      </c>
      <c r="AU928" s="247">
        <v>6.2</v>
      </c>
      <c r="AV928" s="247">
        <v>82</v>
      </c>
      <c r="AW928" s="247">
        <v>75</v>
      </c>
      <c r="AX928" s="247">
        <v>302</v>
      </c>
      <c r="AY928" s="247" t="s">
        <v>965</v>
      </c>
      <c r="AZ928" s="247" t="s">
        <v>973</v>
      </c>
      <c r="BA928" s="248" t="s">
        <v>934</v>
      </c>
      <c r="BB928" s="235">
        <v>100</v>
      </c>
      <c r="BC928" s="247" t="s">
        <v>1765</v>
      </c>
      <c r="BD928" s="247">
        <v>2.2999999999999998</v>
      </c>
      <c r="BE928" s="247">
        <v>1.9</v>
      </c>
      <c r="BF928" s="247">
        <v>2.1</v>
      </c>
      <c r="BG928" s="247">
        <v>3.1</v>
      </c>
      <c r="BH928" s="247">
        <v>5.4</v>
      </c>
      <c r="BI928" s="247">
        <v>8.4</v>
      </c>
      <c r="BJ928" s="247">
        <v>11.3</v>
      </c>
      <c r="BK928" s="247">
        <v>11.3</v>
      </c>
      <c r="BL928" s="247">
        <v>8.1</v>
      </c>
      <c r="BM928" s="247">
        <v>4.4000000000000004</v>
      </c>
      <c r="BN928" s="247">
        <v>2.7</v>
      </c>
      <c r="BO928" s="247">
        <v>2.1</v>
      </c>
      <c r="BP928" s="248">
        <v>5.3</v>
      </c>
    </row>
    <row r="929" spans="1:68" ht="14.25" customHeight="1">
      <c r="A929" s="233">
        <v>272</v>
      </c>
      <c r="B929" s="234">
        <v>161</v>
      </c>
      <c r="C929" s="244" t="s">
        <v>928</v>
      </c>
      <c r="D929" s="244" t="s">
        <v>1768</v>
      </c>
      <c r="E929" s="244" t="s">
        <v>177</v>
      </c>
      <c r="F929" s="245">
        <v>-11.8</v>
      </c>
      <c r="G929" s="245">
        <v>-11.1</v>
      </c>
      <c r="H929" s="245">
        <v>-5.3</v>
      </c>
      <c r="I929" s="245">
        <v>3.2</v>
      </c>
      <c r="J929" s="245">
        <v>10.9</v>
      </c>
      <c r="K929" s="245">
        <v>15.5</v>
      </c>
      <c r="L929" s="245">
        <v>17.8</v>
      </c>
      <c r="M929" s="245">
        <v>16.100000000000001</v>
      </c>
      <c r="N929" s="245">
        <v>10</v>
      </c>
      <c r="O929" s="245">
        <v>3.2</v>
      </c>
      <c r="P929" s="245">
        <v>-2.9</v>
      </c>
      <c r="Q929" s="245">
        <v>-8.6999999999999993</v>
      </c>
      <c r="R929" s="246">
        <v>3.1</v>
      </c>
      <c r="S929" s="233">
        <v>161</v>
      </c>
      <c r="T929" s="247" t="s">
        <v>1769</v>
      </c>
      <c r="U929" s="245">
        <v>-40</v>
      </c>
      <c r="V929" s="245">
        <v>-35</v>
      </c>
      <c r="W929" s="245">
        <v>-34</v>
      </c>
      <c r="X929" s="245">
        <v>-31</v>
      </c>
      <c r="Y929" s="245">
        <v>-17</v>
      </c>
      <c r="Z929" s="245">
        <v>-46</v>
      </c>
      <c r="AA929" s="245">
        <v>6.5</v>
      </c>
      <c r="AB929" s="245">
        <v>154</v>
      </c>
      <c r="AC929" s="245">
        <v>-7.4</v>
      </c>
      <c r="AD929" s="245">
        <v>222</v>
      </c>
      <c r="AE929" s="245">
        <v>-3.9</v>
      </c>
      <c r="AF929" s="245">
        <v>239</v>
      </c>
      <c r="AG929" s="245">
        <v>-3</v>
      </c>
      <c r="AH929" s="245">
        <v>85</v>
      </c>
      <c r="AI929" s="245">
        <v>81</v>
      </c>
      <c r="AJ929" s="245">
        <v>169</v>
      </c>
      <c r="AK929" s="245" t="s">
        <v>963</v>
      </c>
      <c r="AL929" s="245">
        <v>5.8</v>
      </c>
      <c r="AM929" s="246">
        <v>4.9000000000000004</v>
      </c>
      <c r="AN929" s="235">
        <v>161</v>
      </c>
      <c r="AO929" s="247" t="s">
        <v>1770</v>
      </c>
      <c r="AP929" s="247">
        <v>995</v>
      </c>
      <c r="AQ929" s="247">
        <v>21.2</v>
      </c>
      <c r="AR929" s="247">
        <v>25.4</v>
      </c>
      <c r="AS929" s="247">
        <v>23.1</v>
      </c>
      <c r="AT929" s="247">
        <v>37</v>
      </c>
      <c r="AU929" s="247">
        <v>9.9</v>
      </c>
      <c r="AV929" s="247">
        <v>74</v>
      </c>
      <c r="AW929" s="247">
        <v>58</v>
      </c>
      <c r="AX929" s="247">
        <v>409</v>
      </c>
      <c r="AY929" s="247">
        <v>62</v>
      </c>
      <c r="AZ929" s="247" t="s">
        <v>933</v>
      </c>
      <c r="BA929" s="248">
        <v>4.2</v>
      </c>
      <c r="BB929" s="235">
        <v>141</v>
      </c>
      <c r="BC929" s="247" t="s">
        <v>177</v>
      </c>
      <c r="BD929" s="247">
        <v>2.5</v>
      </c>
      <c r="BE929" s="247">
        <v>2.6</v>
      </c>
      <c r="BF929" s="247">
        <v>3.6</v>
      </c>
      <c r="BG929" s="247">
        <v>5.8</v>
      </c>
      <c r="BH929" s="247">
        <v>8.6</v>
      </c>
      <c r="BI929" s="247">
        <v>12.3</v>
      </c>
      <c r="BJ929" s="247">
        <v>14.9</v>
      </c>
      <c r="BK929" s="247">
        <v>13.8</v>
      </c>
      <c r="BL929" s="247">
        <v>10.199999999999999</v>
      </c>
      <c r="BM929" s="247">
        <v>6.7</v>
      </c>
      <c r="BN929" s="247">
        <v>4.5999999999999996</v>
      </c>
      <c r="BO929" s="247">
        <v>3.3</v>
      </c>
      <c r="BP929" s="248">
        <v>7.4</v>
      </c>
    </row>
    <row r="930" spans="1:68" ht="14.25" customHeight="1">
      <c r="A930" s="233">
        <v>273</v>
      </c>
      <c r="B930" s="234">
        <v>68</v>
      </c>
      <c r="C930" s="244" t="s">
        <v>928</v>
      </c>
      <c r="D930" s="244" t="s">
        <v>1316</v>
      </c>
      <c r="E930" s="244" t="s">
        <v>1771</v>
      </c>
      <c r="F930" s="245">
        <v>-11.7</v>
      </c>
      <c r="G930" s="245">
        <v>-11.6</v>
      </c>
      <c r="H930" s="245">
        <v>-5.2</v>
      </c>
      <c r="I930" s="245">
        <v>7.2</v>
      </c>
      <c r="J930" s="245">
        <v>15.7</v>
      </c>
      <c r="K930" s="245">
        <v>20.2</v>
      </c>
      <c r="L930" s="245">
        <v>22.7</v>
      </c>
      <c r="M930" s="245">
        <v>21</v>
      </c>
      <c r="N930" s="245">
        <v>14.5</v>
      </c>
      <c r="O930" s="245">
        <v>6</v>
      </c>
      <c r="P930" s="245">
        <v>-1.3</v>
      </c>
      <c r="Q930" s="245">
        <v>-8.1</v>
      </c>
      <c r="R930" s="246">
        <v>5.8</v>
      </c>
      <c r="S930" s="233">
        <v>68</v>
      </c>
      <c r="T930" s="247" t="s">
        <v>1772</v>
      </c>
      <c r="U930" s="245">
        <v>-32</v>
      </c>
      <c r="V930" s="245">
        <v>-30</v>
      </c>
      <c r="W930" s="245">
        <v>-29</v>
      </c>
      <c r="X930" s="245">
        <v>-26</v>
      </c>
      <c r="Y930" s="245" t="s">
        <v>956</v>
      </c>
      <c r="Z930" s="245">
        <v>-40</v>
      </c>
      <c r="AA930" s="245">
        <v>8.1</v>
      </c>
      <c r="AB930" s="245">
        <v>146</v>
      </c>
      <c r="AC930" s="245">
        <v>-6.7</v>
      </c>
      <c r="AD930" s="245">
        <v>190</v>
      </c>
      <c r="AE930" s="245">
        <v>-3.9</v>
      </c>
      <c r="AF930" s="245">
        <v>205</v>
      </c>
      <c r="AG930" s="245">
        <v>-3.1</v>
      </c>
      <c r="AH930" s="245">
        <v>84</v>
      </c>
      <c r="AI930" s="245">
        <v>81</v>
      </c>
      <c r="AJ930" s="245">
        <v>109</v>
      </c>
      <c r="AK930" s="245" t="s">
        <v>938</v>
      </c>
      <c r="AL930" s="245" t="s">
        <v>931</v>
      </c>
      <c r="AM930" s="246">
        <v>4.2</v>
      </c>
      <c r="AN930" s="235">
        <v>68</v>
      </c>
      <c r="AO930" s="247" t="s">
        <v>1773</v>
      </c>
      <c r="AP930" s="247">
        <v>1005</v>
      </c>
      <c r="AQ930" s="247">
        <v>28</v>
      </c>
      <c r="AR930" s="247">
        <v>32</v>
      </c>
      <c r="AS930" s="247">
        <v>29.5</v>
      </c>
      <c r="AT930" s="247">
        <v>43</v>
      </c>
      <c r="AU930" s="247">
        <v>14.1</v>
      </c>
      <c r="AV930" s="247">
        <v>54</v>
      </c>
      <c r="AW930" s="247">
        <v>39</v>
      </c>
      <c r="AX930" s="247">
        <v>221</v>
      </c>
      <c r="AY930" s="247" t="s">
        <v>965</v>
      </c>
      <c r="AZ930" s="247" t="s">
        <v>1005</v>
      </c>
      <c r="BA930" s="248" t="s">
        <v>934</v>
      </c>
      <c r="BB930" s="235">
        <v>53</v>
      </c>
      <c r="BC930" s="247" t="s">
        <v>1771</v>
      </c>
      <c r="BD930" s="247">
        <v>2.6</v>
      </c>
      <c r="BE930" s="247">
        <v>2.7</v>
      </c>
      <c r="BF930" s="247">
        <v>4</v>
      </c>
      <c r="BG930" s="247">
        <v>7</v>
      </c>
      <c r="BH930" s="247">
        <v>9.5</v>
      </c>
      <c r="BI930" s="247">
        <v>12.3</v>
      </c>
      <c r="BJ930" s="247">
        <v>14</v>
      </c>
      <c r="BK930" s="247">
        <v>12.7</v>
      </c>
      <c r="BL930" s="247">
        <v>9.5</v>
      </c>
      <c r="BM930" s="247">
        <v>6.8</v>
      </c>
      <c r="BN930" s="247">
        <v>5.0999999999999996</v>
      </c>
      <c r="BO930" s="247">
        <v>3.6</v>
      </c>
      <c r="BP930" s="248">
        <v>7.5</v>
      </c>
    </row>
    <row r="931" spans="1:68" ht="14.25" customHeight="1">
      <c r="A931" s="233">
        <v>274</v>
      </c>
      <c r="B931" s="234">
        <v>69</v>
      </c>
      <c r="C931" s="244" t="s">
        <v>928</v>
      </c>
      <c r="D931" s="244" t="s">
        <v>1316</v>
      </c>
      <c r="E931" s="244" t="s">
        <v>1774</v>
      </c>
      <c r="F931" s="245">
        <v>-7.4</v>
      </c>
      <c r="G931" s="245">
        <v>-6.8</v>
      </c>
      <c r="H931" s="245">
        <v>-0.8</v>
      </c>
      <c r="I931" s="245">
        <v>9.5</v>
      </c>
      <c r="J931" s="245">
        <v>17</v>
      </c>
      <c r="K931" s="245">
        <v>21.2</v>
      </c>
      <c r="L931" s="245">
        <v>24</v>
      </c>
      <c r="M931" s="245">
        <v>22.7</v>
      </c>
      <c r="N931" s="245">
        <v>16.2</v>
      </c>
      <c r="O931" s="245">
        <v>8.3000000000000007</v>
      </c>
      <c r="P931" s="245">
        <v>1.9</v>
      </c>
      <c r="Q931" s="245">
        <v>-3.7</v>
      </c>
      <c r="R931" s="246">
        <v>8.5</v>
      </c>
      <c r="S931" s="233">
        <v>69</v>
      </c>
      <c r="T931" s="247" t="s">
        <v>1775</v>
      </c>
      <c r="U931" s="245">
        <v>-32</v>
      </c>
      <c r="V931" s="245">
        <v>-29</v>
      </c>
      <c r="W931" s="245">
        <v>-27</v>
      </c>
      <c r="X931" s="245">
        <v>-24</v>
      </c>
      <c r="Y931" s="245">
        <v>-12</v>
      </c>
      <c r="Z931" s="245">
        <v>-38</v>
      </c>
      <c r="AA931" s="245">
        <v>6.8</v>
      </c>
      <c r="AB931" s="245">
        <v>112</v>
      </c>
      <c r="AC931" s="245">
        <v>-4.7</v>
      </c>
      <c r="AD931" s="245">
        <v>176</v>
      </c>
      <c r="AE931" s="245">
        <v>-1.6</v>
      </c>
      <c r="AF931" s="245">
        <v>190</v>
      </c>
      <c r="AG931" s="245">
        <v>-0.8</v>
      </c>
      <c r="AH931" s="245">
        <v>85</v>
      </c>
      <c r="AI931" s="245">
        <v>84</v>
      </c>
      <c r="AJ931" s="245">
        <v>161</v>
      </c>
      <c r="AK931" s="245" t="s">
        <v>982</v>
      </c>
      <c r="AL931" s="245">
        <v>4.2</v>
      </c>
      <c r="AM931" s="246">
        <v>4.0999999999999996</v>
      </c>
      <c r="AN931" s="235">
        <v>69</v>
      </c>
      <c r="AO931" s="247" t="s">
        <v>1776</v>
      </c>
      <c r="AP931" s="247">
        <v>1005</v>
      </c>
      <c r="AQ931" s="247">
        <v>28.4</v>
      </c>
      <c r="AR931" s="247">
        <v>32.299999999999997</v>
      </c>
      <c r="AS931" s="247">
        <v>30.8</v>
      </c>
      <c r="AT931" s="247">
        <v>42</v>
      </c>
      <c r="AU931" s="247">
        <v>13.8</v>
      </c>
      <c r="AV931" s="247">
        <v>51</v>
      </c>
      <c r="AW931" s="247">
        <v>34</v>
      </c>
      <c r="AX931" s="247">
        <v>261</v>
      </c>
      <c r="AY931" s="247">
        <v>51</v>
      </c>
      <c r="AZ931" s="247" t="s">
        <v>959</v>
      </c>
      <c r="BA931" s="248">
        <v>3.1</v>
      </c>
      <c r="BB931" s="235">
        <v>54</v>
      </c>
      <c r="BC931" s="247" t="s">
        <v>1774</v>
      </c>
      <c r="BD931" s="247">
        <v>3.6</v>
      </c>
      <c r="BE931" s="247">
        <v>3.8</v>
      </c>
      <c r="BF931" s="247">
        <v>5.0999999999999996</v>
      </c>
      <c r="BG931" s="247">
        <v>7.6</v>
      </c>
      <c r="BH931" s="247">
        <v>10.199999999999999</v>
      </c>
      <c r="BI931" s="247">
        <v>13.2</v>
      </c>
      <c r="BJ931" s="247">
        <v>14.3</v>
      </c>
      <c r="BK931" s="247">
        <v>13.4</v>
      </c>
      <c r="BL931" s="247">
        <v>10.3</v>
      </c>
      <c r="BM931" s="247">
        <v>7.9</v>
      </c>
      <c r="BN931" s="247">
        <v>6.3</v>
      </c>
      <c r="BO931" s="247">
        <v>4.7</v>
      </c>
      <c r="BP931" s="248">
        <v>8.4</v>
      </c>
    </row>
    <row r="932" spans="1:68" ht="14.25" customHeight="1">
      <c r="A932" s="233">
        <v>275</v>
      </c>
      <c r="B932" s="234">
        <v>453</v>
      </c>
      <c r="C932" s="244" t="s">
        <v>928</v>
      </c>
      <c r="D932" s="244" t="s">
        <v>1257</v>
      </c>
      <c r="E932" s="244" t="s">
        <v>1777</v>
      </c>
      <c r="F932" s="245">
        <v>-17.3</v>
      </c>
      <c r="G932" s="245">
        <v>-17.8</v>
      </c>
      <c r="H932" s="245">
        <v>-12.6</v>
      </c>
      <c r="I932" s="245">
        <v>-5.4</v>
      </c>
      <c r="J932" s="245">
        <v>0.9</v>
      </c>
      <c r="K932" s="245">
        <v>8.4</v>
      </c>
      <c r="L932" s="245">
        <v>12.9</v>
      </c>
      <c r="M932" s="245">
        <v>10.9</v>
      </c>
      <c r="N932" s="245">
        <v>5.6</v>
      </c>
      <c r="O932" s="245">
        <v>-1.8</v>
      </c>
      <c r="P932" s="245">
        <v>-9</v>
      </c>
      <c r="Q932" s="245">
        <v>-13.5</v>
      </c>
      <c r="R932" s="246">
        <v>-3.2</v>
      </c>
      <c r="S932" s="233">
        <v>453</v>
      </c>
      <c r="T932" s="247" t="s">
        <v>1777</v>
      </c>
      <c r="U932" s="245">
        <v>-49</v>
      </c>
      <c r="V932" s="245">
        <v>-47</v>
      </c>
      <c r="W932" s="245">
        <v>-43</v>
      </c>
      <c r="X932" s="245">
        <v>-41</v>
      </c>
      <c r="Y932" s="245">
        <v>-23</v>
      </c>
      <c r="Z932" s="245">
        <v>-51</v>
      </c>
      <c r="AA932" s="245">
        <v>10</v>
      </c>
      <c r="AB932" s="245">
        <v>215</v>
      </c>
      <c r="AC932" s="245">
        <v>-10.7</v>
      </c>
      <c r="AD932" s="245">
        <v>285</v>
      </c>
      <c r="AE932" s="245">
        <v>-7.1</v>
      </c>
      <c r="AF932" s="245">
        <v>309</v>
      </c>
      <c r="AG932" s="245">
        <v>-5.8</v>
      </c>
      <c r="AH932" s="245">
        <v>82</v>
      </c>
      <c r="AI932" s="245">
        <v>81</v>
      </c>
      <c r="AJ932" s="245">
        <v>148</v>
      </c>
      <c r="AK932" s="245" t="s">
        <v>971</v>
      </c>
      <c r="AL932" s="245" t="s">
        <v>931</v>
      </c>
      <c r="AM932" s="246">
        <v>3.7</v>
      </c>
      <c r="AN932" s="235">
        <v>453</v>
      </c>
      <c r="AO932" s="247" t="s">
        <v>1778</v>
      </c>
      <c r="AP932" s="247">
        <v>1010</v>
      </c>
      <c r="AQ932" s="247">
        <v>16.399999999999999</v>
      </c>
      <c r="AR932" s="247">
        <v>20.9</v>
      </c>
      <c r="AS932" s="247">
        <v>18.8</v>
      </c>
      <c r="AT932" s="247">
        <v>34</v>
      </c>
      <c r="AU932" s="247">
        <v>11.3</v>
      </c>
      <c r="AV932" s="247">
        <v>75</v>
      </c>
      <c r="AW932" s="247">
        <v>62</v>
      </c>
      <c r="AX932" s="247">
        <v>340</v>
      </c>
      <c r="AY932" s="247">
        <v>40</v>
      </c>
      <c r="AZ932" s="247" t="s">
        <v>940</v>
      </c>
      <c r="BA932" s="248" t="s">
        <v>934</v>
      </c>
      <c r="BB932" s="235">
        <v>415</v>
      </c>
      <c r="BC932" s="247" t="s">
        <v>1777</v>
      </c>
      <c r="BD932" s="247">
        <v>1.8</v>
      </c>
      <c r="BE932" s="247">
        <v>1.7</v>
      </c>
      <c r="BF932" s="247">
        <v>2.4</v>
      </c>
      <c r="BG932" s="247">
        <v>3.6</v>
      </c>
      <c r="BH932" s="247">
        <v>5.0999999999999996</v>
      </c>
      <c r="BI932" s="247">
        <v>8</v>
      </c>
      <c r="BJ932" s="247">
        <v>11.2</v>
      </c>
      <c r="BK932" s="247">
        <v>10.9</v>
      </c>
      <c r="BL932" s="247">
        <v>8</v>
      </c>
      <c r="BM932" s="247">
        <v>5.0999999999999996</v>
      </c>
      <c r="BN932" s="247">
        <v>3.3</v>
      </c>
      <c r="BO932" s="247">
        <v>2.4</v>
      </c>
      <c r="BP932" s="248">
        <v>5.3</v>
      </c>
    </row>
    <row r="933" spans="1:68" ht="14.25" customHeight="1">
      <c r="A933" s="233">
        <v>276</v>
      </c>
      <c r="B933" s="234">
        <v>42</v>
      </c>
      <c r="C933" s="244" t="s">
        <v>928</v>
      </c>
      <c r="D933" s="244" t="s">
        <v>1043</v>
      </c>
      <c r="E933" s="244" t="s">
        <v>1779</v>
      </c>
      <c r="F933" s="245">
        <v>-14.6</v>
      </c>
      <c r="G933" s="245">
        <v>-12.6</v>
      </c>
      <c r="H933" s="245">
        <v>-6.4</v>
      </c>
      <c r="I933" s="245">
        <v>1.6</v>
      </c>
      <c r="J933" s="245">
        <v>8.6</v>
      </c>
      <c r="K933" s="245">
        <v>14.4</v>
      </c>
      <c r="L933" s="245">
        <v>17.2</v>
      </c>
      <c r="M933" s="245">
        <v>14.4</v>
      </c>
      <c r="N933" s="245">
        <v>8.3000000000000007</v>
      </c>
      <c r="O933" s="245">
        <v>1.4</v>
      </c>
      <c r="P933" s="245">
        <v>-5.3</v>
      </c>
      <c r="Q933" s="245">
        <v>-11.2</v>
      </c>
      <c r="R933" s="246">
        <v>1.4</v>
      </c>
      <c r="S933" s="233">
        <v>42</v>
      </c>
      <c r="T933" s="247" t="s">
        <v>1780</v>
      </c>
      <c r="U933" s="245">
        <v>-41</v>
      </c>
      <c r="V933" s="245">
        <v>-39</v>
      </c>
      <c r="W933" s="245">
        <v>-37</v>
      </c>
      <c r="X933" s="245">
        <v>-34</v>
      </c>
      <c r="Y933" s="245">
        <v>-19</v>
      </c>
      <c r="Z933" s="245">
        <v>-47</v>
      </c>
      <c r="AA933" s="245">
        <v>7.1</v>
      </c>
      <c r="AB933" s="245">
        <v>168</v>
      </c>
      <c r="AC933" s="245">
        <v>-9.1</v>
      </c>
      <c r="AD933" s="245">
        <v>237</v>
      </c>
      <c r="AE933" s="245">
        <v>-5.3</v>
      </c>
      <c r="AF933" s="245">
        <v>258</v>
      </c>
      <c r="AG933" s="245">
        <v>-4.0999999999999996</v>
      </c>
      <c r="AH933" s="245">
        <v>86</v>
      </c>
      <c r="AI933" s="245">
        <v>80</v>
      </c>
      <c r="AJ933" s="245">
        <v>184</v>
      </c>
      <c r="AK933" s="245" t="s">
        <v>963</v>
      </c>
      <c r="AL933" s="245">
        <v>5.6</v>
      </c>
      <c r="AM933" s="246">
        <v>4.5</v>
      </c>
      <c r="AN933" s="235">
        <v>42</v>
      </c>
      <c r="AO933" s="247" t="s">
        <v>1781</v>
      </c>
      <c r="AP933" s="247">
        <v>1010</v>
      </c>
      <c r="AQ933" s="247">
        <v>18</v>
      </c>
      <c r="AR933" s="247">
        <v>26</v>
      </c>
      <c r="AS933" s="247">
        <v>23.2</v>
      </c>
      <c r="AT933" s="247">
        <v>34</v>
      </c>
      <c r="AU933" s="247">
        <v>11.2</v>
      </c>
      <c r="AV933" s="247">
        <v>74</v>
      </c>
      <c r="AW933" s="247">
        <v>56</v>
      </c>
      <c r="AX933" s="247">
        <v>415</v>
      </c>
      <c r="AY933" s="247">
        <v>82</v>
      </c>
      <c r="AZ933" s="247" t="s">
        <v>959</v>
      </c>
      <c r="BA933" s="248">
        <v>4</v>
      </c>
      <c r="BB933" s="235">
        <v>28</v>
      </c>
      <c r="BC933" s="247" t="s">
        <v>1779</v>
      </c>
      <c r="BD933" s="247">
        <v>2.2000000000000002</v>
      </c>
      <c r="BE933" s="247">
        <v>2.4</v>
      </c>
      <c r="BF933" s="247">
        <v>3.3</v>
      </c>
      <c r="BG933" s="247">
        <v>5</v>
      </c>
      <c r="BH933" s="247">
        <v>7.4</v>
      </c>
      <c r="BI933" s="247">
        <v>11.2</v>
      </c>
      <c r="BJ933" s="247">
        <v>14.1</v>
      </c>
      <c r="BK933" s="247">
        <v>12.9</v>
      </c>
      <c r="BL933" s="247">
        <v>9.4</v>
      </c>
      <c r="BM933" s="247">
        <v>6.1</v>
      </c>
      <c r="BN933" s="247">
        <v>4.0999999999999996</v>
      </c>
      <c r="BO933" s="247">
        <v>2.8</v>
      </c>
      <c r="BP933" s="248">
        <v>6.8</v>
      </c>
    </row>
    <row r="934" spans="1:68" ht="14.25" customHeight="1">
      <c r="A934" s="233">
        <v>277</v>
      </c>
      <c r="B934" s="234">
        <v>235</v>
      </c>
      <c r="C934" s="244" t="s">
        <v>928</v>
      </c>
      <c r="D934" s="244" t="s">
        <v>1119</v>
      </c>
      <c r="E934" s="244" t="s">
        <v>1782</v>
      </c>
      <c r="F934" s="245">
        <v>-19.600000000000001</v>
      </c>
      <c r="G934" s="245">
        <v>-18.2</v>
      </c>
      <c r="H934" s="245">
        <v>-11.5</v>
      </c>
      <c r="I934" s="245">
        <v>1.2</v>
      </c>
      <c r="J934" s="245">
        <v>10.7</v>
      </c>
      <c r="K934" s="245">
        <v>16.7</v>
      </c>
      <c r="L934" s="245">
        <v>18.600000000000001</v>
      </c>
      <c r="M934" s="245">
        <v>15.4</v>
      </c>
      <c r="N934" s="245">
        <v>9.6999999999999993</v>
      </c>
      <c r="O934" s="245">
        <v>1.4</v>
      </c>
      <c r="P934" s="245">
        <v>-9.5</v>
      </c>
      <c r="Q934" s="245">
        <v>-16.899999999999999</v>
      </c>
      <c r="R934" s="246">
        <v>-0.2</v>
      </c>
      <c r="S934" s="233">
        <v>235</v>
      </c>
      <c r="T934" s="247" t="s">
        <v>1783</v>
      </c>
      <c r="U934" s="245">
        <v>-45</v>
      </c>
      <c r="V934" s="245">
        <v>-42</v>
      </c>
      <c r="W934" s="245">
        <v>-43</v>
      </c>
      <c r="X934" s="245">
        <v>-39</v>
      </c>
      <c r="Y934" s="245">
        <v>-25</v>
      </c>
      <c r="Z934" s="245">
        <v>-50</v>
      </c>
      <c r="AA934" s="245">
        <v>9.3000000000000007</v>
      </c>
      <c r="AB934" s="245">
        <v>175</v>
      </c>
      <c r="AC934" s="245">
        <v>-12.9</v>
      </c>
      <c r="AD934" s="245">
        <v>228</v>
      </c>
      <c r="AE934" s="245">
        <v>-8.9</v>
      </c>
      <c r="AF934" s="245">
        <v>242</v>
      </c>
      <c r="AG934" s="245">
        <v>-7.9</v>
      </c>
      <c r="AH934" s="245">
        <v>81</v>
      </c>
      <c r="AI934" s="245">
        <v>80</v>
      </c>
      <c r="AJ934" s="245">
        <v>90</v>
      </c>
      <c r="AK934" s="245" t="s">
        <v>971</v>
      </c>
      <c r="AL934" s="245" t="s">
        <v>931</v>
      </c>
      <c r="AM934" s="246" t="s">
        <v>931</v>
      </c>
      <c r="AN934" s="235">
        <v>235</v>
      </c>
      <c r="AO934" s="247" t="s">
        <v>1784</v>
      </c>
      <c r="AP934" s="247">
        <v>990</v>
      </c>
      <c r="AQ934" s="247">
        <v>22.9</v>
      </c>
      <c r="AR934" s="247">
        <v>27</v>
      </c>
      <c r="AS934" s="247">
        <v>25.3</v>
      </c>
      <c r="AT934" s="247">
        <v>39</v>
      </c>
      <c r="AU934" s="247">
        <v>13.3</v>
      </c>
      <c r="AV934" s="247">
        <v>73</v>
      </c>
      <c r="AW934" s="247">
        <v>54</v>
      </c>
      <c r="AX934" s="247">
        <v>295</v>
      </c>
      <c r="AY934" s="247">
        <v>68</v>
      </c>
      <c r="AZ934" s="247" t="s">
        <v>978</v>
      </c>
      <c r="BA934" s="248" t="s">
        <v>934</v>
      </c>
      <c r="BB934" s="235">
        <v>207</v>
      </c>
      <c r="BC934" s="247" t="s">
        <v>1782</v>
      </c>
      <c r="BD934" s="247">
        <v>1.5</v>
      </c>
      <c r="BE934" s="247">
        <v>1.5</v>
      </c>
      <c r="BF934" s="247">
        <v>2.5</v>
      </c>
      <c r="BG934" s="247">
        <v>5.2</v>
      </c>
      <c r="BH934" s="247">
        <v>7.5</v>
      </c>
      <c r="BI934" s="247">
        <v>11.9</v>
      </c>
      <c r="BJ934" s="247">
        <v>15</v>
      </c>
      <c r="BK934" s="247">
        <v>13</v>
      </c>
      <c r="BL934" s="247">
        <v>8.8000000000000007</v>
      </c>
      <c r="BM934" s="247">
        <v>5.4</v>
      </c>
      <c r="BN934" s="247">
        <v>3.1</v>
      </c>
      <c r="BO934" s="247">
        <v>1.8</v>
      </c>
      <c r="BP934" s="248">
        <v>6.4</v>
      </c>
    </row>
    <row r="935" spans="1:68" ht="14.25" customHeight="1">
      <c r="A935" s="233">
        <v>278</v>
      </c>
      <c r="B935" s="234">
        <v>541</v>
      </c>
      <c r="C935" s="244" t="s">
        <v>1180</v>
      </c>
      <c r="D935" s="244" t="s">
        <v>1785</v>
      </c>
      <c r="E935" s="244" t="s">
        <v>1786</v>
      </c>
      <c r="F935" s="245">
        <v>-9.9</v>
      </c>
      <c r="G935" s="245">
        <v>-6</v>
      </c>
      <c r="H935" s="245">
        <v>0.5</v>
      </c>
      <c r="I935" s="245">
        <v>6.5</v>
      </c>
      <c r="J935" s="245">
        <v>11</v>
      </c>
      <c r="K935" s="245">
        <v>13.8</v>
      </c>
      <c r="L935" s="245">
        <v>16.3</v>
      </c>
      <c r="M935" s="245">
        <v>15</v>
      </c>
      <c r="N935" s="245">
        <v>10.9</v>
      </c>
      <c r="O935" s="245">
        <v>4.8</v>
      </c>
      <c r="P935" s="245">
        <v>-3.2</v>
      </c>
      <c r="Q935" s="245">
        <v>-8.8000000000000007</v>
      </c>
      <c r="R935" s="246">
        <v>4.2</v>
      </c>
      <c r="S935" s="233">
        <v>541</v>
      </c>
      <c r="T935" s="247" t="s">
        <v>1786</v>
      </c>
      <c r="U935" s="245">
        <v>-24</v>
      </c>
      <c r="V935" s="245">
        <v>-22</v>
      </c>
      <c r="W935" s="245">
        <v>-23</v>
      </c>
      <c r="X935" s="245">
        <v>-21</v>
      </c>
      <c r="Y935" s="245" t="s">
        <v>956</v>
      </c>
      <c r="Z935" s="245">
        <v>-36</v>
      </c>
      <c r="AA935" s="245" t="s">
        <v>956</v>
      </c>
      <c r="AB935" s="245" t="s">
        <v>1018</v>
      </c>
      <c r="AC935" s="245" t="s">
        <v>958</v>
      </c>
      <c r="AD935" s="245" t="s">
        <v>1018</v>
      </c>
      <c r="AE935" s="245" t="s">
        <v>931</v>
      </c>
      <c r="AF935" s="245" t="s">
        <v>933</v>
      </c>
      <c r="AG935" s="245" t="s">
        <v>931</v>
      </c>
      <c r="AH935" s="245">
        <v>62</v>
      </c>
      <c r="AI935" s="245">
        <v>42</v>
      </c>
      <c r="AJ935" s="245">
        <v>23</v>
      </c>
      <c r="AK935" s="245" t="s">
        <v>950</v>
      </c>
      <c r="AL935" s="245">
        <v>1.7</v>
      </c>
      <c r="AM935" s="246" t="s">
        <v>931</v>
      </c>
      <c r="AN935" s="235">
        <v>541</v>
      </c>
      <c r="AO935" s="247" t="s">
        <v>1787</v>
      </c>
      <c r="AP935" s="247" t="s">
        <v>965</v>
      </c>
      <c r="AQ935" s="247" t="s">
        <v>958</v>
      </c>
      <c r="AR935" s="247" t="s">
        <v>931</v>
      </c>
      <c r="AS935" s="247" t="s">
        <v>958</v>
      </c>
      <c r="AT935" s="247">
        <v>35</v>
      </c>
      <c r="AU935" s="247" t="s">
        <v>934</v>
      </c>
      <c r="AV935" s="247">
        <v>60</v>
      </c>
      <c r="AW935" s="247">
        <v>36</v>
      </c>
      <c r="AX935" s="247">
        <v>209</v>
      </c>
      <c r="AY935" s="247">
        <v>30</v>
      </c>
      <c r="AZ935" s="247" t="s">
        <v>1038</v>
      </c>
      <c r="BA935" s="248">
        <v>0.8</v>
      </c>
      <c r="BB935" s="235"/>
      <c r="BC935" s="247" t="s">
        <v>1786</v>
      </c>
      <c r="BD935" s="247"/>
      <c r="BE935" s="247"/>
      <c r="BF935" s="247"/>
      <c r="BG935" s="247"/>
      <c r="BH935" s="247"/>
      <c r="BI935" s="247"/>
      <c r="BJ935" s="247"/>
      <c r="BK935" s="247"/>
      <c r="BL935" s="247"/>
      <c r="BM935" s="247"/>
      <c r="BN935" s="247"/>
      <c r="BO935" s="247"/>
      <c r="BP935" s="248"/>
    </row>
    <row r="936" spans="1:68" ht="14.25" customHeight="1">
      <c r="A936" s="233">
        <v>279</v>
      </c>
      <c r="B936" s="234">
        <v>8</v>
      </c>
      <c r="C936" s="244" t="s">
        <v>928</v>
      </c>
      <c r="D936" s="244" t="s">
        <v>974</v>
      </c>
      <c r="E936" s="244" t="s">
        <v>1788</v>
      </c>
      <c r="F936" s="245">
        <v>-30.5</v>
      </c>
      <c r="G936" s="245">
        <v>-26.8</v>
      </c>
      <c r="H936" s="245">
        <v>-15</v>
      </c>
      <c r="I936" s="245">
        <v>-1.4</v>
      </c>
      <c r="J936" s="245">
        <v>6.2</v>
      </c>
      <c r="K936" s="245">
        <v>12.3</v>
      </c>
      <c r="L936" s="245">
        <v>14</v>
      </c>
      <c r="M936" s="245">
        <v>12</v>
      </c>
      <c r="N936" s="245">
        <v>5.8</v>
      </c>
      <c r="O936" s="245">
        <v>-3.8</v>
      </c>
      <c r="P936" s="245">
        <v>-17.100000000000001</v>
      </c>
      <c r="Q936" s="245">
        <v>-26.9</v>
      </c>
      <c r="R936" s="246">
        <v>-5.9</v>
      </c>
      <c r="S936" s="233">
        <v>8</v>
      </c>
      <c r="T936" s="247" t="s">
        <v>1789</v>
      </c>
      <c r="U936" s="245">
        <v>-49</v>
      </c>
      <c r="V936" s="245">
        <v>-48</v>
      </c>
      <c r="W936" s="245">
        <v>-48</v>
      </c>
      <c r="X936" s="245">
        <v>-46</v>
      </c>
      <c r="Y936" s="245">
        <v>-36</v>
      </c>
      <c r="Z936" s="245">
        <v>-55</v>
      </c>
      <c r="AA936" s="245">
        <v>13</v>
      </c>
      <c r="AB936" s="245">
        <v>199</v>
      </c>
      <c r="AC936" s="245">
        <v>-18.100000000000001</v>
      </c>
      <c r="AD936" s="245">
        <v>262</v>
      </c>
      <c r="AE936" s="245">
        <v>-12.8</v>
      </c>
      <c r="AF936" s="245">
        <v>282</v>
      </c>
      <c r="AG936" s="245">
        <v>-11.2</v>
      </c>
      <c r="AH936" s="245">
        <v>76</v>
      </c>
      <c r="AI936" s="245">
        <v>74</v>
      </c>
      <c r="AJ936" s="245">
        <v>20</v>
      </c>
      <c r="AK936" s="245" t="s">
        <v>982</v>
      </c>
      <c r="AL936" s="245">
        <v>4.0999999999999996</v>
      </c>
      <c r="AM936" s="246">
        <v>1.7</v>
      </c>
      <c r="AN936" s="235">
        <v>8</v>
      </c>
      <c r="AO936" s="247" t="s">
        <v>1790</v>
      </c>
      <c r="AP936" s="247">
        <v>840</v>
      </c>
      <c r="AQ936" s="247">
        <v>18.899999999999999</v>
      </c>
      <c r="AR936" s="247">
        <v>23.2</v>
      </c>
      <c r="AS936" s="247">
        <v>21.3</v>
      </c>
      <c r="AT936" s="247">
        <v>33</v>
      </c>
      <c r="AU936" s="247">
        <v>14.2</v>
      </c>
      <c r="AV936" s="247">
        <v>54</v>
      </c>
      <c r="AW936" s="247">
        <v>35</v>
      </c>
      <c r="AX936" s="247">
        <v>96</v>
      </c>
      <c r="AY936" s="247">
        <v>54</v>
      </c>
      <c r="AZ936" s="247" t="s">
        <v>952</v>
      </c>
      <c r="BA936" s="248">
        <v>0</v>
      </c>
      <c r="BB936" s="235">
        <v>11</v>
      </c>
      <c r="BC936" s="247" t="s">
        <v>1788</v>
      </c>
      <c r="BD936" s="247">
        <v>0.5</v>
      </c>
      <c r="BE936" s="247">
        <v>0.6</v>
      </c>
      <c r="BF936" s="247">
        <v>1.5</v>
      </c>
      <c r="BG936" s="247">
        <v>3</v>
      </c>
      <c r="BH936" s="247">
        <v>4.5</v>
      </c>
      <c r="BI936" s="247">
        <v>6.9</v>
      </c>
      <c r="BJ936" s="247">
        <v>8.4</v>
      </c>
      <c r="BK936" s="247">
        <v>7.5</v>
      </c>
      <c r="BL936" s="247">
        <v>4.9000000000000004</v>
      </c>
      <c r="BM936" s="247">
        <v>2.9</v>
      </c>
      <c r="BN936" s="247">
        <v>1.3</v>
      </c>
      <c r="BO936" s="247">
        <v>0.7</v>
      </c>
      <c r="BP936" s="248">
        <v>3.6</v>
      </c>
    </row>
    <row r="937" spans="1:68" ht="14.25" customHeight="1">
      <c r="A937" s="233">
        <v>280</v>
      </c>
      <c r="B937" s="234">
        <v>165</v>
      </c>
      <c r="C937" s="244" t="s">
        <v>928</v>
      </c>
      <c r="D937" s="244" t="s">
        <v>1791</v>
      </c>
      <c r="E937" s="244" t="s">
        <v>1792</v>
      </c>
      <c r="F937" s="245">
        <v>0.3</v>
      </c>
      <c r="G937" s="245">
        <v>1.3</v>
      </c>
      <c r="H937" s="245">
        <v>4.2</v>
      </c>
      <c r="I937" s="245">
        <v>9.5</v>
      </c>
      <c r="J937" s="245">
        <v>14.2</v>
      </c>
      <c r="K937" s="245">
        <v>17.100000000000001</v>
      </c>
      <c r="L937" s="245">
        <v>19.5</v>
      </c>
      <c r="M937" s="245">
        <v>19.399999999999999</v>
      </c>
      <c r="N937" s="245">
        <v>15.6</v>
      </c>
      <c r="O937" s="245">
        <v>10.8</v>
      </c>
      <c r="P937" s="245">
        <v>6.9</v>
      </c>
      <c r="Q937" s="245">
        <v>2.2000000000000002</v>
      </c>
      <c r="R937" s="246">
        <v>10.1</v>
      </c>
      <c r="S937" s="233">
        <v>165</v>
      </c>
      <c r="T937" s="247" t="s">
        <v>1793</v>
      </c>
      <c r="U937" s="245">
        <v>-14</v>
      </c>
      <c r="V937" s="245">
        <v>-12</v>
      </c>
      <c r="W937" s="245">
        <v>-11</v>
      </c>
      <c r="X937" s="245">
        <v>-9</v>
      </c>
      <c r="Y937" s="245">
        <v>-4</v>
      </c>
      <c r="Z937" s="245">
        <v>-23</v>
      </c>
      <c r="AA937" s="245">
        <v>7.9</v>
      </c>
      <c r="AB937" s="245">
        <v>0</v>
      </c>
      <c r="AC937" s="245" t="s">
        <v>830</v>
      </c>
      <c r="AD937" s="245">
        <v>155</v>
      </c>
      <c r="AE937" s="245">
        <v>3</v>
      </c>
      <c r="AF937" s="245">
        <v>181</v>
      </c>
      <c r="AG937" s="245">
        <v>3.8</v>
      </c>
      <c r="AH937" s="245">
        <v>83</v>
      </c>
      <c r="AI937" s="245">
        <v>80</v>
      </c>
      <c r="AJ937" s="245">
        <v>998</v>
      </c>
      <c r="AK937" s="245" t="s">
        <v>996</v>
      </c>
      <c r="AL937" s="245" t="s">
        <v>931</v>
      </c>
      <c r="AM937" s="246">
        <v>1.4</v>
      </c>
      <c r="AN937" s="235">
        <v>165</v>
      </c>
      <c r="AO937" s="247" t="s">
        <v>1794</v>
      </c>
      <c r="AP937" s="247">
        <v>950</v>
      </c>
      <c r="AQ937" s="247">
        <v>23</v>
      </c>
      <c r="AR937" s="247">
        <v>28</v>
      </c>
      <c r="AS937" s="247">
        <v>25.7</v>
      </c>
      <c r="AT937" s="247">
        <v>38</v>
      </c>
      <c r="AU937" s="247">
        <v>11.6</v>
      </c>
      <c r="AV937" s="247">
        <v>79</v>
      </c>
      <c r="AW937" s="247">
        <v>61</v>
      </c>
      <c r="AX937" s="247">
        <v>956</v>
      </c>
      <c r="AY937" s="247">
        <v>188</v>
      </c>
      <c r="AZ937" s="247" t="s">
        <v>1005</v>
      </c>
      <c r="BA937" s="248" t="s">
        <v>934</v>
      </c>
      <c r="BB937" s="235">
        <v>143</v>
      </c>
      <c r="BC937" s="247" t="s">
        <v>1792</v>
      </c>
      <c r="BD937" s="247">
        <v>5.4</v>
      </c>
      <c r="BE937" s="247">
        <v>5.5</v>
      </c>
      <c r="BF937" s="247">
        <v>6.2</v>
      </c>
      <c r="BG937" s="247">
        <v>8.3000000000000007</v>
      </c>
      <c r="BH937" s="247">
        <v>11.8</v>
      </c>
      <c r="BI937" s="247">
        <v>14.9</v>
      </c>
      <c r="BJ937" s="247">
        <v>17.7</v>
      </c>
      <c r="BK937" s="247">
        <v>17.5</v>
      </c>
      <c r="BL937" s="247">
        <v>14</v>
      </c>
      <c r="BM937" s="247">
        <v>10.4</v>
      </c>
      <c r="BN937" s="247">
        <v>7.8</v>
      </c>
      <c r="BO937" s="247">
        <v>6.2</v>
      </c>
      <c r="BP937" s="248">
        <v>10.5</v>
      </c>
    </row>
    <row r="938" spans="1:68" ht="14.25" customHeight="1">
      <c r="A938" s="233">
        <v>281</v>
      </c>
      <c r="B938" s="234">
        <v>164</v>
      </c>
      <c r="C938" s="244" t="s">
        <v>928</v>
      </c>
      <c r="D938" s="244" t="s">
        <v>1791</v>
      </c>
      <c r="E938" s="244" t="s">
        <v>178</v>
      </c>
      <c r="F938" s="245">
        <v>-1.6</v>
      </c>
      <c r="G938" s="245">
        <v>-0.6</v>
      </c>
      <c r="H938" s="245">
        <v>4.3</v>
      </c>
      <c r="I938" s="245">
        <v>11.3</v>
      </c>
      <c r="J938" s="245">
        <v>17</v>
      </c>
      <c r="K938" s="245">
        <v>20.7</v>
      </c>
      <c r="L938" s="245">
        <v>23.3</v>
      </c>
      <c r="M938" s="245">
        <v>22.7</v>
      </c>
      <c r="N938" s="245">
        <v>17.600000000000001</v>
      </c>
      <c r="O938" s="245">
        <v>11.4</v>
      </c>
      <c r="P938" s="245">
        <v>5.6</v>
      </c>
      <c r="Q938" s="245">
        <v>1.1000000000000001</v>
      </c>
      <c r="R938" s="246">
        <v>11.1</v>
      </c>
      <c r="S938" s="233">
        <v>164</v>
      </c>
      <c r="T938" s="247" t="s">
        <v>1795</v>
      </c>
      <c r="U938" s="245">
        <v>-27</v>
      </c>
      <c r="V938" s="245">
        <v>-23</v>
      </c>
      <c r="W938" s="245">
        <v>-23</v>
      </c>
      <c r="X938" s="245">
        <v>-19</v>
      </c>
      <c r="Y938" s="245">
        <v>-7</v>
      </c>
      <c r="Z938" s="245">
        <v>-36</v>
      </c>
      <c r="AA938" s="245">
        <v>8.1</v>
      </c>
      <c r="AB938" s="245">
        <v>49</v>
      </c>
      <c r="AC938" s="245">
        <v>-1.2</v>
      </c>
      <c r="AD938" s="245">
        <v>149</v>
      </c>
      <c r="AE938" s="245">
        <v>2</v>
      </c>
      <c r="AF938" s="245">
        <v>168</v>
      </c>
      <c r="AG938" s="245">
        <v>2.8</v>
      </c>
      <c r="AH938" s="245">
        <v>83</v>
      </c>
      <c r="AI938" s="245">
        <v>79</v>
      </c>
      <c r="AJ938" s="245">
        <v>293</v>
      </c>
      <c r="AK938" s="245" t="s">
        <v>982</v>
      </c>
      <c r="AL938" s="245">
        <v>3.2</v>
      </c>
      <c r="AM938" s="246">
        <v>2.9</v>
      </c>
      <c r="AN938" s="235">
        <v>164</v>
      </c>
      <c r="AO938" s="247" t="s">
        <v>1796</v>
      </c>
      <c r="AP938" s="247">
        <v>1010</v>
      </c>
      <c r="AQ938" s="247">
        <v>27.4</v>
      </c>
      <c r="AR938" s="247">
        <v>31.1</v>
      </c>
      <c r="AS938" s="247">
        <v>29.8</v>
      </c>
      <c r="AT938" s="247">
        <v>42</v>
      </c>
      <c r="AU938" s="247">
        <v>13.2</v>
      </c>
      <c r="AV938" s="247">
        <v>64</v>
      </c>
      <c r="AW938" s="247">
        <v>46</v>
      </c>
      <c r="AX938" s="247">
        <v>393</v>
      </c>
      <c r="AY938" s="247">
        <v>107</v>
      </c>
      <c r="AZ938" s="247" t="s">
        <v>940</v>
      </c>
      <c r="BA938" s="248">
        <v>0</v>
      </c>
      <c r="BB938" s="235">
        <v>144</v>
      </c>
      <c r="BC938" s="247" t="s">
        <v>178</v>
      </c>
      <c r="BD938" s="247">
        <v>4.9000000000000004</v>
      </c>
      <c r="BE938" s="247">
        <v>5.3</v>
      </c>
      <c r="BF938" s="247">
        <v>6.2</v>
      </c>
      <c r="BG938" s="247">
        <v>9</v>
      </c>
      <c r="BH938" s="247">
        <v>12.9</v>
      </c>
      <c r="BI938" s="247">
        <v>16.100000000000001</v>
      </c>
      <c r="BJ938" s="247">
        <v>17.899999999999999</v>
      </c>
      <c r="BK938" s="247">
        <v>17.2</v>
      </c>
      <c r="BL938" s="247">
        <v>13.4</v>
      </c>
      <c r="BM938" s="247">
        <v>10.1</v>
      </c>
      <c r="BN938" s="247">
        <v>8</v>
      </c>
      <c r="BO938" s="247">
        <v>6.1</v>
      </c>
      <c r="BP938" s="248">
        <v>10.6</v>
      </c>
    </row>
    <row r="939" spans="1:68" ht="14.25" customHeight="1">
      <c r="A939" s="233">
        <v>282</v>
      </c>
      <c r="B939" s="234">
        <v>216</v>
      </c>
      <c r="C939" s="244" t="s">
        <v>928</v>
      </c>
      <c r="D939" s="244" t="s">
        <v>1246</v>
      </c>
      <c r="E939" s="244" t="s">
        <v>1797</v>
      </c>
      <c r="F939" s="245">
        <v>-13.2</v>
      </c>
      <c r="G939" s="245">
        <v>-13.8</v>
      </c>
      <c r="H939" s="245">
        <v>-10.5</v>
      </c>
      <c r="I939" s="245">
        <v>-3.9</v>
      </c>
      <c r="J939" s="245">
        <v>2.4</v>
      </c>
      <c r="K939" s="245">
        <v>9.6999999999999993</v>
      </c>
      <c r="L939" s="245">
        <v>13.2</v>
      </c>
      <c r="M939" s="245">
        <v>11.1</v>
      </c>
      <c r="N939" s="245">
        <v>5.8</v>
      </c>
      <c r="O939" s="245">
        <v>-0.6</v>
      </c>
      <c r="P939" s="245">
        <v>-5.6</v>
      </c>
      <c r="Q939" s="245">
        <v>-9.8000000000000007</v>
      </c>
      <c r="R939" s="246">
        <v>-1.3</v>
      </c>
      <c r="S939" s="233">
        <v>216</v>
      </c>
      <c r="T939" s="247" t="s">
        <v>1798</v>
      </c>
      <c r="U939" s="245">
        <v>-41</v>
      </c>
      <c r="V939" s="245">
        <v>-37</v>
      </c>
      <c r="W939" s="245">
        <v>-35</v>
      </c>
      <c r="X939" s="245">
        <v>-32</v>
      </c>
      <c r="Y939" s="245">
        <v>-19</v>
      </c>
      <c r="Z939" s="245">
        <v>-49</v>
      </c>
      <c r="AA939" s="245">
        <v>9.1999999999999993</v>
      </c>
      <c r="AB939" s="245">
        <v>203</v>
      </c>
      <c r="AC939" s="245">
        <v>-8.4</v>
      </c>
      <c r="AD939" s="245">
        <v>279</v>
      </c>
      <c r="AE939" s="245">
        <v>-5</v>
      </c>
      <c r="AF939" s="245">
        <v>300</v>
      </c>
      <c r="AG939" s="245">
        <v>-4</v>
      </c>
      <c r="AH939" s="245">
        <v>85</v>
      </c>
      <c r="AI939" s="245">
        <v>85</v>
      </c>
      <c r="AJ939" s="245">
        <v>141</v>
      </c>
      <c r="AK939" s="245" t="s">
        <v>971</v>
      </c>
      <c r="AL939" s="245">
        <v>3</v>
      </c>
      <c r="AM939" s="246">
        <v>2.8</v>
      </c>
      <c r="AN939" s="235">
        <v>216</v>
      </c>
      <c r="AO939" s="247" t="s">
        <v>1799</v>
      </c>
      <c r="AP939" s="247">
        <v>995</v>
      </c>
      <c r="AQ939" s="247">
        <v>16.399999999999999</v>
      </c>
      <c r="AR939" s="247">
        <v>20.9</v>
      </c>
      <c r="AS939" s="247">
        <v>18.8</v>
      </c>
      <c r="AT939" s="247">
        <v>34</v>
      </c>
      <c r="AU939" s="247">
        <v>10.9</v>
      </c>
      <c r="AV939" s="247">
        <v>71</v>
      </c>
      <c r="AW939" s="247">
        <v>57</v>
      </c>
      <c r="AX939" s="247">
        <v>355</v>
      </c>
      <c r="AY939" s="247">
        <v>48</v>
      </c>
      <c r="AZ939" s="247" t="s">
        <v>940</v>
      </c>
      <c r="BA939" s="248">
        <v>0</v>
      </c>
      <c r="BB939" s="235">
        <v>191</v>
      </c>
      <c r="BC939" s="247" t="s">
        <v>1797</v>
      </c>
      <c r="BD939" s="247">
        <v>2.2999999999999998</v>
      </c>
      <c r="BE939" s="247">
        <v>2.1</v>
      </c>
      <c r="BF939" s="247">
        <v>2.7</v>
      </c>
      <c r="BG939" s="247">
        <v>3.8</v>
      </c>
      <c r="BH939" s="247">
        <v>5.3</v>
      </c>
      <c r="BI939" s="247">
        <v>8.1</v>
      </c>
      <c r="BJ939" s="247">
        <v>10.7</v>
      </c>
      <c r="BK939" s="247">
        <v>10.6</v>
      </c>
      <c r="BL939" s="247">
        <v>8.1</v>
      </c>
      <c r="BM939" s="247">
        <v>5.5</v>
      </c>
      <c r="BN939" s="247">
        <v>4</v>
      </c>
      <c r="BO939" s="247">
        <v>3</v>
      </c>
      <c r="BP939" s="248">
        <v>5.5</v>
      </c>
    </row>
    <row r="940" spans="1:68" ht="14.25" customHeight="1">
      <c r="A940" s="233">
        <v>283</v>
      </c>
      <c r="B940" s="234">
        <v>186</v>
      </c>
      <c r="C940" s="244" t="s">
        <v>928</v>
      </c>
      <c r="D940" s="244" t="s">
        <v>935</v>
      </c>
      <c r="E940" s="244" t="s">
        <v>179</v>
      </c>
      <c r="F940" s="245">
        <v>-18.2</v>
      </c>
      <c r="G940" s="245">
        <v>-16.8</v>
      </c>
      <c r="H940" s="245">
        <v>-7.8</v>
      </c>
      <c r="I940" s="245">
        <v>2.6</v>
      </c>
      <c r="J940" s="245">
        <v>9.4</v>
      </c>
      <c r="K940" s="245">
        <v>16.600000000000001</v>
      </c>
      <c r="L940" s="245">
        <v>19.100000000000001</v>
      </c>
      <c r="M940" s="245">
        <v>15.7</v>
      </c>
      <c r="N940" s="245">
        <v>9.4</v>
      </c>
      <c r="O940" s="245">
        <v>1.5</v>
      </c>
      <c r="P940" s="245">
        <v>-8.8000000000000007</v>
      </c>
      <c r="Q940" s="245">
        <v>-16.3</v>
      </c>
      <c r="R940" s="246">
        <v>0.5</v>
      </c>
      <c r="S940" s="233">
        <v>186</v>
      </c>
      <c r="T940" s="247" t="s">
        <v>1800</v>
      </c>
      <c r="U940" s="245">
        <v>-48</v>
      </c>
      <c r="V940" s="245">
        <v>-44</v>
      </c>
      <c r="W940" s="245">
        <v>-43</v>
      </c>
      <c r="X940" s="245">
        <v>-40</v>
      </c>
      <c r="Y940" s="245">
        <v>-22</v>
      </c>
      <c r="Z940" s="245">
        <v>-53</v>
      </c>
      <c r="AA940" s="245">
        <v>8.4</v>
      </c>
      <c r="AB940" s="245">
        <v>172</v>
      </c>
      <c r="AC940" s="245">
        <v>-11.1</v>
      </c>
      <c r="AD940" s="245">
        <v>234</v>
      </c>
      <c r="AE940" s="245">
        <v>-7.1</v>
      </c>
      <c r="AF940" s="245">
        <v>252</v>
      </c>
      <c r="AG940" s="245">
        <v>-5.9</v>
      </c>
      <c r="AH940" s="245">
        <v>71</v>
      </c>
      <c r="AI940" s="245">
        <v>70</v>
      </c>
      <c r="AJ940" s="245">
        <v>85</v>
      </c>
      <c r="AK940" s="245" t="s">
        <v>950</v>
      </c>
      <c r="AL940" s="245">
        <v>6.2</v>
      </c>
      <c r="AM940" s="246">
        <v>3.8</v>
      </c>
      <c r="AN940" s="235">
        <v>186</v>
      </c>
      <c r="AO940" s="247" t="s">
        <v>1801</v>
      </c>
      <c r="AP940" s="247">
        <v>980</v>
      </c>
      <c r="AQ940" s="247">
        <v>22</v>
      </c>
      <c r="AR940" s="247">
        <v>26.2</v>
      </c>
      <c r="AS940" s="247">
        <v>24.3</v>
      </c>
      <c r="AT940" s="247">
        <v>36</v>
      </c>
      <c r="AU940" s="247">
        <v>11.1</v>
      </c>
      <c r="AV940" s="247">
        <v>70</v>
      </c>
      <c r="AW940" s="247">
        <v>58</v>
      </c>
      <c r="AX940" s="247">
        <v>369</v>
      </c>
      <c r="AY940" s="247">
        <v>97</v>
      </c>
      <c r="AZ940" s="247" t="s">
        <v>952</v>
      </c>
      <c r="BA940" s="248">
        <v>0</v>
      </c>
      <c r="BB940" s="235">
        <v>164</v>
      </c>
      <c r="BC940" s="247" t="s">
        <v>179</v>
      </c>
      <c r="BD940" s="247">
        <v>1.4</v>
      </c>
      <c r="BE940" s="247">
        <v>1.5</v>
      </c>
      <c r="BF940" s="247">
        <v>2.6</v>
      </c>
      <c r="BG940" s="247">
        <v>4.5</v>
      </c>
      <c r="BH940" s="247">
        <v>6.5</v>
      </c>
      <c r="BI940" s="247">
        <v>11.4</v>
      </c>
      <c r="BJ940" s="247">
        <v>14.7</v>
      </c>
      <c r="BK940" s="247">
        <v>12.9</v>
      </c>
      <c r="BL940" s="247">
        <v>8.6999999999999993</v>
      </c>
      <c r="BM940" s="247">
        <v>4.9000000000000004</v>
      </c>
      <c r="BN940" s="247">
        <v>2.7</v>
      </c>
      <c r="BO940" s="247">
        <v>1.6</v>
      </c>
      <c r="BP940" s="248">
        <v>5.0999999999999996</v>
      </c>
    </row>
    <row r="941" spans="1:68" ht="14.25" customHeight="1">
      <c r="A941" s="233">
        <v>284</v>
      </c>
      <c r="B941" s="234">
        <v>382</v>
      </c>
      <c r="C941" s="244" t="s">
        <v>928</v>
      </c>
      <c r="D941" s="244" t="s">
        <v>947</v>
      </c>
      <c r="E941" s="244" t="s">
        <v>1802</v>
      </c>
      <c r="F941" s="245">
        <v>-26.2</v>
      </c>
      <c r="G941" s="245">
        <v>-22.4</v>
      </c>
      <c r="H941" s="245">
        <v>-11.4</v>
      </c>
      <c r="I941" s="245">
        <v>0.6</v>
      </c>
      <c r="J941" s="245">
        <v>8.3000000000000007</v>
      </c>
      <c r="K941" s="245">
        <v>14.7</v>
      </c>
      <c r="L941" s="245">
        <v>17.100000000000001</v>
      </c>
      <c r="M941" s="245">
        <v>14.3</v>
      </c>
      <c r="N941" s="245">
        <v>7.4</v>
      </c>
      <c r="O941" s="245">
        <v>-1.2</v>
      </c>
      <c r="P941" s="245">
        <v>-13.1</v>
      </c>
      <c r="Q941" s="245">
        <v>-22.8</v>
      </c>
      <c r="R941" s="246">
        <v>-2.9</v>
      </c>
      <c r="S941" s="233">
        <v>382</v>
      </c>
      <c r="T941" s="247" t="s">
        <v>1803</v>
      </c>
      <c r="U941" s="245">
        <v>-44</v>
      </c>
      <c r="V941" s="245">
        <v>-42</v>
      </c>
      <c r="W941" s="245">
        <v>-42</v>
      </c>
      <c r="X941" s="245">
        <v>-39</v>
      </c>
      <c r="Y941" s="245">
        <v>-31</v>
      </c>
      <c r="Z941" s="245">
        <v>-48</v>
      </c>
      <c r="AA941" s="245">
        <v>12.5</v>
      </c>
      <c r="AB941" s="245">
        <v>184</v>
      </c>
      <c r="AC941" s="245">
        <v>-15.8</v>
      </c>
      <c r="AD941" s="245">
        <v>244</v>
      </c>
      <c r="AE941" s="245">
        <v>-10.9</v>
      </c>
      <c r="AF941" s="245">
        <v>262</v>
      </c>
      <c r="AG941" s="245">
        <v>-9.5</v>
      </c>
      <c r="AH941" s="245">
        <v>78</v>
      </c>
      <c r="AI941" s="245">
        <v>74</v>
      </c>
      <c r="AJ941" s="245">
        <v>29</v>
      </c>
      <c r="AK941" s="245" t="s">
        <v>950</v>
      </c>
      <c r="AL941" s="245" t="s">
        <v>931</v>
      </c>
      <c r="AM941" s="246">
        <v>1.5</v>
      </c>
      <c r="AN941" s="235">
        <v>382</v>
      </c>
      <c r="AO941" s="247" t="s">
        <v>1804</v>
      </c>
      <c r="AP941" s="247">
        <v>920</v>
      </c>
      <c r="AQ941" s="247">
        <v>22.4</v>
      </c>
      <c r="AR941" s="247">
        <v>26.6</v>
      </c>
      <c r="AS941" s="247">
        <v>24.8</v>
      </c>
      <c r="AT941" s="247">
        <v>38</v>
      </c>
      <c r="AU941" s="247">
        <v>14.3</v>
      </c>
      <c r="AV941" s="247">
        <v>74</v>
      </c>
      <c r="AW941" s="247">
        <v>56</v>
      </c>
      <c r="AX941" s="247">
        <v>307</v>
      </c>
      <c r="AY941" s="247">
        <v>76</v>
      </c>
      <c r="AZ941" s="247" t="s">
        <v>959</v>
      </c>
      <c r="BA941" s="248" t="s">
        <v>934</v>
      </c>
      <c r="BB941" s="235">
        <v>346</v>
      </c>
      <c r="BC941" s="247" t="s">
        <v>1802</v>
      </c>
      <c r="BD941" s="247">
        <v>0.7</v>
      </c>
      <c r="BE941" s="247">
        <v>0.9</v>
      </c>
      <c r="BF941" s="247">
        <v>2</v>
      </c>
      <c r="BG941" s="247">
        <v>3.5</v>
      </c>
      <c r="BH941" s="247">
        <v>5.4</v>
      </c>
      <c r="BI941" s="247">
        <v>10.199999999999999</v>
      </c>
      <c r="BJ941" s="247">
        <v>14.2</v>
      </c>
      <c r="BK941" s="247">
        <v>12.7</v>
      </c>
      <c r="BL941" s="247">
        <v>7.4</v>
      </c>
      <c r="BM941" s="247">
        <v>3.9</v>
      </c>
      <c r="BN941" s="247">
        <v>1.9</v>
      </c>
      <c r="BO941" s="247">
        <v>0.9</v>
      </c>
      <c r="BP941" s="248">
        <v>5.3</v>
      </c>
    </row>
    <row r="942" spans="1:68" ht="14.25" customHeight="1">
      <c r="A942" s="233">
        <v>285</v>
      </c>
      <c r="B942" s="234">
        <v>262</v>
      </c>
      <c r="C942" s="244" t="s">
        <v>928</v>
      </c>
      <c r="D942" s="244" t="s">
        <v>941</v>
      </c>
      <c r="E942" s="244" t="s">
        <v>1805</v>
      </c>
      <c r="F942" s="245">
        <v>-23.4</v>
      </c>
      <c r="G942" s="245">
        <v>-19.100000000000001</v>
      </c>
      <c r="H942" s="245">
        <v>-8.1999999999999993</v>
      </c>
      <c r="I942" s="245">
        <v>3.1</v>
      </c>
      <c r="J942" s="245">
        <v>10.7</v>
      </c>
      <c r="K942" s="245">
        <v>16.399999999999999</v>
      </c>
      <c r="L942" s="245">
        <v>20.399999999999999</v>
      </c>
      <c r="M942" s="245">
        <v>19.100000000000001</v>
      </c>
      <c r="N942" s="245">
        <v>12.1</v>
      </c>
      <c r="O942" s="245">
        <v>3.1</v>
      </c>
      <c r="P942" s="245">
        <v>-8.9</v>
      </c>
      <c r="Q942" s="245">
        <v>-19.899999999999999</v>
      </c>
      <c r="R942" s="246">
        <v>0.5</v>
      </c>
      <c r="S942" s="233">
        <v>262</v>
      </c>
      <c r="T942" s="247" t="s">
        <v>1806</v>
      </c>
      <c r="U942" s="245">
        <v>-39</v>
      </c>
      <c r="V942" s="245">
        <v>-36</v>
      </c>
      <c r="W942" s="245">
        <v>-35</v>
      </c>
      <c r="X942" s="245">
        <v>-34</v>
      </c>
      <c r="Y942" s="245">
        <v>-25</v>
      </c>
      <c r="Z942" s="245">
        <v>-47</v>
      </c>
      <c r="AA942" s="245">
        <v>17.100000000000001</v>
      </c>
      <c r="AB942" s="245">
        <v>164</v>
      </c>
      <c r="AC942" s="245">
        <v>-14.7</v>
      </c>
      <c r="AD942" s="245">
        <v>217</v>
      </c>
      <c r="AE942" s="245">
        <v>-10</v>
      </c>
      <c r="AF942" s="245">
        <v>234</v>
      </c>
      <c r="AG942" s="245">
        <v>-8.6</v>
      </c>
      <c r="AH942" s="245">
        <v>75</v>
      </c>
      <c r="AI942" s="245">
        <v>66</v>
      </c>
      <c r="AJ942" s="245">
        <v>129</v>
      </c>
      <c r="AK942" s="245" t="s">
        <v>971</v>
      </c>
      <c r="AL942" s="245" t="s">
        <v>931</v>
      </c>
      <c r="AM942" s="246">
        <v>1.4</v>
      </c>
      <c r="AN942" s="235">
        <v>262</v>
      </c>
      <c r="AO942" s="247" t="s">
        <v>1807</v>
      </c>
      <c r="AP942" s="247">
        <v>1000</v>
      </c>
      <c r="AQ942" s="247">
        <v>25</v>
      </c>
      <c r="AR942" s="247">
        <v>30</v>
      </c>
      <c r="AS942" s="247">
        <v>27.4</v>
      </c>
      <c r="AT942" s="247">
        <v>38</v>
      </c>
      <c r="AU942" s="247">
        <v>12.5</v>
      </c>
      <c r="AV942" s="247">
        <v>81</v>
      </c>
      <c r="AW942" s="247">
        <v>71</v>
      </c>
      <c r="AX942" s="247">
        <v>760</v>
      </c>
      <c r="AY942" s="247">
        <v>141</v>
      </c>
      <c r="AZ942" s="247" t="s">
        <v>940</v>
      </c>
      <c r="BA942" s="248" t="s">
        <v>934</v>
      </c>
      <c r="BB942" s="235">
        <v>233</v>
      </c>
      <c r="BC942" s="247" t="s">
        <v>1805</v>
      </c>
      <c r="BD942" s="247">
        <v>0.9</v>
      </c>
      <c r="BE942" s="247">
        <v>1.1000000000000001</v>
      </c>
      <c r="BF942" s="247">
        <v>2.2999999999999998</v>
      </c>
      <c r="BG942" s="247">
        <v>4.5999999999999996</v>
      </c>
      <c r="BH942" s="247">
        <v>8.1</v>
      </c>
      <c r="BI942" s="247">
        <v>14.2</v>
      </c>
      <c r="BJ942" s="247">
        <v>19.399999999999999</v>
      </c>
      <c r="BK942" s="247">
        <v>18.8</v>
      </c>
      <c r="BL942" s="247">
        <v>11.7</v>
      </c>
      <c r="BM942" s="247">
        <v>5.7</v>
      </c>
      <c r="BN942" s="247">
        <v>2.5</v>
      </c>
      <c r="BO942" s="247">
        <v>1.2</v>
      </c>
      <c r="BP942" s="248">
        <v>7.5</v>
      </c>
    </row>
    <row r="943" spans="1:68" ht="14.25" customHeight="1">
      <c r="A943" s="233">
        <v>286</v>
      </c>
      <c r="B943" s="234">
        <v>480</v>
      </c>
      <c r="C943" s="244" t="s">
        <v>1068</v>
      </c>
      <c r="D943" s="244" t="s">
        <v>1068</v>
      </c>
      <c r="E943" s="244" t="s">
        <v>1808</v>
      </c>
      <c r="F943" s="245">
        <v>-10.5</v>
      </c>
      <c r="G943" s="245">
        <v>-10</v>
      </c>
      <c r="H943" s="245">
        <v>-6.9</v>
      </c>
      <c r="I943" s="245">
        <v>-1</v>
      </c>
      <c r="J943" s="245">
        <v>3.4</v>
      </c>
      <c r="K943" s="245">
        <v>7.2</v>
      </c>
      <c r="L943" s="245">
        <v>10.6</v>
      </c>
      <c r="M943" s="245">
        <v>10</v>
      </c>
      <c r="N943" s="245">
        <v>6.7</v>
      </c>
      <c r="O943" s="245">
        <v>1.4</v>
      </c>
      <c r="P943" s="245">
        <v>-3.1</v>
      </c>
      <c r="Q943" s="245">
        <v>-8</v>
      </c>
      <c r="R943" s="246">
        <v>0</v>
      </c>
      <c r="S943" s="233">
        <v>480</v>
      </c>
      <c r="T943" s="247" t="s">
        <v>1809</v>
      </c>
      <c r="U943" s="245">
        <v>-17</v>
      </c>
      <c r="V943" s="245">
        <v>-15</v>
      </c>
      <c r="W943" s="245">
        <v>-15</v>
      </c>
      <c r="X943" s="245">
        <v>-13</v>
      </c>
      <c r="Y943" s="245">
        <v>-3</v>
      </c>
      <c r="Z943" s="245">
        <v>-38</v>
      </c>
      <c r="AA943" s="245">
        <v>8.4</v>
      </c>
      <c r="AB943" s="245">
        <v>180</v>
      </c>
      <c r="AC943" s="245">
        <v>-6.7</v>
      </c>
      <c r="AD943" s="245">
        <v>291</v>
      </c>
      <c r="AE943" s="245">
        <v>-1.9</v>
      </c>
      <c r="AF943" s="245">
        <v>326</v>
      </c>
      <c r="AG943" s="245">
        <v>-1.3</v>
      </c>
      <c r="AH943" s="245" t="s">
        <v>956</v>
      </c>
      <c r="AI943" s="245">
        <v>77</v>
      </c>
      <c r="AJ943" s="245">
        <v>508</v>
      </c>
      <c r="AK943" s="245" t="s">
        <v>938</v>
      </c>
      <c r="AL943" s="245" t="s">
        <v>931</v>
      </c>
      <c r="AM943" s="246">
        <v>4.2</v>
      </c>
      <c r="AN943" s="235">
        <v>480</v>
      </c>
      <c r="AO943" s="247" t="s">
        <v>1810</v>
      </c>
      <c r="AP943" s="247">
        <v>760</v>
      </c>
      <c r="AQ943" s="247">
        <v>14</v>
      </c>
      <c r="AR943" s="247">
        <v>20</v>
      </c>
      <c r="AS943" s="247">
        <v>15.4</v>
      </c>
      <c r="AT943" s="247">
        <v>25</v>
      </c>
      <c r="AU943" s="247">
        <v>8.1</v>
      </c>
      <c r="AV943" s="247">
        <v>85</v>
      </c>
      <c r="AW943" s="247">
        <v>77</v>
      </c>
      <c r="AX943" s="247" t="s">
        <v>931</v>
      </c>
      <c r="AY943" s="247">
        <v>117</v>
      </c>
      <c r="AZ943" s="247" t="s">
        <v>940</v>
      </c>
      <c r="BA943" s="248">
        <v>0.8</v>
      </c>
      <c r="BB943" s="235"/>
      <c r="BC943" s="247" t="s">
        <v>1809</v>
      </c>
      <c r="BD943" s="247"/>
      <c r="BE943" s="247"/>
      <c r="BF943" s="247"/>
      <c r="BG943" s="247"/>
      <c r="BH943" s="247"/>
      <c r="BI943" s="247"/>
      <c r="BJ943" s="247"/>
      <c r="BK943" s="247"/>
      <c r="BL943" s="247"/>
      <c r="BM943" s="247"/>
      <c r="BN943" s="247"/>
      <c r="BO943" s="247"/>
      <c r="BP943" s="248"/>
    </row>
    <row r="944" spans="1:68" ht="14.25" customHeight="1">
      <c r="A944" s="233">
        <v>287</v>
      </c>
      <c r="B944" s="234">
        <v>419</v>
      </c>
      <c r="C944" s="244" t="s">
        <v>928</v>
      </c>
      <c r="D944" s="244" t="s">
        <v>969</v>
      </c>
      <c r="E944" s="244" t="s">
        <v>1811</v>
      </c>
      <c r="F944" s="245">
        <v>-45.1</v>
      </c>
      <c r="G944" s="245">
        <v>-39</v>
      </c>
      <c r="H944" s="245">
        <v>-23.3</v>
      </c>
      <c r="I944" s="245">
        <v>-7.1</v>
      </c>
      <c r="J944" s="245">
        <v>6.2</v>
      </c>
      <c r="K944" s="245">
        <v>14.9</v>
      </c>
      <c r="L944" s="245">
        <v>18.2</v>
      </c>
      <c r="M944" s="245">
        <v>14.7</v>
      </c>
      <c r="N944" s="245">
        <v>5.8</v>
      </c>
      <c r="O944" s="245">
        <v>-9</v>
      </c>
      <c r="P944" s="245">
        <v>-30.9</v>
      </c>
      <c r="Q944" s="245">
        <v>-42.5</v>
      </c>
      <c r="R944" s="246">
        <v>-11.4</v>
      </c>
      <c r="S944" s="233">
        <v>419</v>
      </c>
      <c r="T944" s="247" t="s">
        <v>1811</v>
      </c>
      <c r="U944" s="245">
        <v>-59</v>
      </c>
      <c r="V944" s="245">
        <v>-58</v>
      </c>
      <c r="W944" s="245">
        <v>-56</v>
      </c>
      <c r="X944" s="245">
        <v>-55</v>
      </c>
      <c r="Y944" s="245">
        <v>-50</v>
      </c>
      <c r="Z944" s="245">
        <v>-62</v>
      </c>
      <c r="AA944" s="245">
        <v>7.2</v>
      </c>
      <c r="AB944" s="245">
        <v>216</v>
      </c>
      <c r="AC944" s="245">
        <v>-27</v>
      </c>
      <c r="AD944" s="245">
        <v>256</v>
      </c>
      <c r="AE944" s="245">
        <v>-22.1</v>
      </c>
      <c r="AF944" s="245">
        <v>270</v>
      </c>
      <c r="AG944" s="245">
        <v>-20.5</v>
      </c>
      <c r="AH944" s="245">
        <v>72</v>
      </c>
      <c r="AI944" s="245">
        <v>72</v>
      </c>
      <c r="AJ944" s="245">
        <v>43</v>
      </c>
      <c r="AK944" s="245" t="s">
        <v>950</v>
      </c>
      <c r="AL944" s="245" t="s">
        <v>931</v>
      </c>
      <c r="AM944" s="246">
        <v>1</v>
      </c>
      <c r="AN944" s="235">
        <v>419</v>
      </c>
      <c r="AO944" s="247" t="s">
        <v>1812</v>
      </c>
      <c r="AP944" s="247">
        <v>995</v>
      </c>
      <c r="AQ944" s="247">
        <v>22.2</v>
      </c>
      <c r="AR944" s="247">
        <v>26.4</v>
      </c>
      <c r="AS944" s="247">
        <v>24.6</v>
      </c>
      <c r="AT944" s="247">
        <v>38</v>
      </c>
      <c r="AU944" s="247">
        <v>13.1</v>
      </c>
      <c r="AV944" s="247">
        <v>64</v>
      </c>
      <c r="AW944" s="247">
        <v>49</v>
      </c>
      <c r="AX944" s="247">
        <v>228</v>
      </c>
      <c r="AY944" s="247">
        <v>53</v>
      </c>
      <c r="AZ944" s="247" t="s">
        <v>952</v>
      </c>
      <c r="BA944" s="248" t="s">
        <v>934</v>
      </c>
      <c r="BB944" s="235">
        <v>383</v>
      </c>
      <c r="BC944" s="247" t="s">
        <v>1811</v>
      </c>
      <c r="BD944" s="247">
        <v>0.1</v>
      </c>
      <c r="BE944" s="247">
        <v>0.2</v>
      </c>
      <c r="BF944" s="247">
        <v>0.8</v>
      </c>
      <c r="BG944" s="247">
        <v>2.2000000000000002</v>
      </c>
      <c r="BH944" s="247">
        <v>4.9000000000000004</v>
      </c>
      <c r="BI944" s="247">
        <v>9.6999999999999993</v>
      </c>
      <c r="BJ944" s="247">
        <v>12.9</v>
      </c>
      <c r="BK944" s="247">
        <v>11.5</v>
      </c>
      <c r="BL944" s="247">
        <v>6.8</v>
      </c>
      <c r="BM944" s="247">
        <v>2.9</v>
      </c>
      <c r="BN944" s="247">
        <v>0.5</v>
      </c>
      <c r="BO944" s="247">
        <v>0.2</v>
      </c>
      <c r="BP944" s="248">
        <v>4.4000000000000004</v>
      </c>
    </row>
    <row r="945" spans="1:68" ht="14.25" customHeight="1">
      <c r="A945" s="233">
        <v>288</v>
      </c>
      <c r="B945" s="234">
        <v>612</v>
      </c>
      <c r="C945" s="244" t="s">
        <v>953</v>
      </c>
      <c r="D945" s="244" t="s">
        <v>1455</v>
      </c>
      <c r="E945" s="244" t="s">
        <v>1813</v>
      </c>
      <c r="F945" s="245">
        <v>-5</v>
      </c>
      <c r="G945" s="245">
        <v>-3.6</v>
      </c>
      <c r="H945" s="245">
        <v>1.3</v>
      </c>
      <c r="I945" s="245">
        <v>9.5</v>
      </c>
      <c r="J945" s="245">
        <v>15.9</v>
      </c>
      <c r="K945" s="245">
        <v>19.5</v>
      </c>
      <c r="L945" s="245">
        <v>21.1</v>
      </c>
      <c r="M945" s="245">
        <v>20.5</v>
      </c>
      <c r="N945" s="245">
        <v>15.6</v>
      </c>
      <c r="O945" s="245">
        <v>8.8000000000000007</v>
      </c>
      <c r="P945" s="245">
        <v>3</v>
      </c>
      <c r="Q945" s="245">
        <v>-1.6</v>
      </c>
      <c r="R945" s="246">
        <v>8.8000000000000007</v>
      </c>
      <c r="S945" s="233">
        <v>601</v>
      </c>
      <c r="T945" s="247" t="s">
        <v>1813</v>
      </c>
      <c r="U945" s="245">
        <v>-21</v>
      </c>
      <c r="V945" s="245">
        <v>-18</v>
      </c>
      <c r="W945" s="245">
        <v>-18</v>
      </c>
      <c r="X945" s="245">
        <v>-17</v>
      </c>
      <c r="Y945" s="245">
        <v>-7</v>
      </c>
      <c r="Z945" s="245">
        <v>-28</v>
      </c>
      <c r="AA945" s="245" t="s">
        <v>956</v>
      </c>
      <c r="AB945" s="245">
        <v>95</v>
      </c>
      <c r="AC945" s="245">
        <v>-3.3</v>
      </c>
      <c r="AD945" s="245">
        <v>170</v>
      </c>
      <c r="AE945" s="245">
        <v>-0.2</v>
      </c>
      <c r="AF945" s="245">
        <v>186</v>
      </c>
      <c r="AG945" s="245">
        <v>0.6</v>
      </c>
      <c r="AH945" s="245" t="s">
        <v>956</v>
      </c>
      <c r="AI945" s="245" t="s">
        <v>956</v>
      </c>
      <c r="AJ945" s="245">
        <v>177</v>
      </c>
      <c r="AK945" s="245" t="s">
        <v>982</v>
      </c>
      <c r="AL945" s="245" t="s">
        <v>931</v>
      </c>
      <c r="AM945" s="246" t="s">
        <v>931</v>
      </c>
      <c r="AN945" s="235">
        <v>602</v>
      </c>
      <c r="AO945" s="247" t="s">
        <v>1814</v>
      </c>
      <c r="AP945" s="247" t="s">
        <v>965</v>
      </c>
      <c r="AQ945" s="247">
        <v>31</v>
      </c>
      <c r="AR945" s="247">
        <v>26</v>
      </c>
      <c r="AS945" s="247">
        <v>27.2</v>
      </c>
      <c r="AT945" s="247">
        <v>38</v>
      </c>
      <c r="AU945" s="247" t="s">
        <v>934</v>
      </c>
      <c r="AV945" s="247" t="s">
        <v>958</v>
      </c>
      <c r="AW945" s="247" t="s">
        <v>931</v>
      </c>
      <c r="AX945" s="247" t="s">
        <v>931</v>
      </c>
      <c r="AY945" s="247">
        <v>75</v>
      </c>
      <c r="AZ945" s="247" t="s">
        <v>1005</v>
      </c>
      <c r="BA945" s="248">
        <v>2.6</v>
      </c>
      <c r="BB945" s="235"/>
      <c r="BC945" s="247" t="s">
        <v>1813</v>
      </c>
      <c r="BD945" s="247"/>
      <c r="BE945" s="247"/>
      <c r="BF945" s="247"/>
      <c r="BG945" s="247"/>
      <c r="BH945" s="247"/>
      <c r="BI945" s="247"/>
      <c r="BJ945" s="247"/>
      <c r="BK945" s="247"/>
      <c r="BL945" s="247"/>
      <c r="BM945" s="247"/>
      <c r="BN945" s="247"/>
      <c r="BO945" s="247"/>
      <c r="BP945" s="248"/>
    </row>
    <row r="946" spans="1:68" ht="14.25" customHeight="1">
      <c r="A946" s="233">
        <v>289</v>
      </c>
      <c r="B946" s="234">
        <v>125</v>
      </c>
      <c r="C946" s="244" t="s">
        <v>928</v>
      </c>
      <c r="D946" s="244" t="s">
        <v>1023</v>
      </c>
      <c r="E946" s="244" t="s">
        <v>1815</v>
      </c>
      <c r="F946" s="245">
        <v>-8.5</v>
      </c>
      <c r="G946" s="245">
        <v>-8.1999999999999993</v>
      </c>
      <c r="H946" s="245">
        <v>-6.2</v>
      </c>
      <c r="I946" s="245">
        <v>-1.6</v>
      </c>
      <c r="J946" s="245">
        <v>2.6</v>
      </c>
      <c r="K946" s="245">
        <v>6.6</v>
      </c>
      <c r="L946" s="245">
        <v>10.7</v>
      </c>
      <c r="M946" s="245">
        <v>11.7</v>
      </c>
      <c r="N946" s="245">
        <v>8.6</v>
      </c>
      <c r="O946" s="245">
        <v>2.8</v>
      </c>
      <c r="P946" s="245">
        <v>-3.3</v>
      </c>
      <c r="Q946" s="245">
        <v>-7.4</v>
      </c>
      <c r="R946" s="246">
        <v>0.6</v>
      </c>
      <c r="S946" s="233">
        <v>125</v>
      </c>
      <c r="T946" s="247" t="s">
        <v>1816</v>
      </c>
      <c r="U946" s="245">
        <v>-26</v>
      </c>
      <c r="V946" s="245">
        <v>-22</v>
      </c>
      <c r="W946" s="245">
        <v>-23</v>
      </c>
      <c r="X946" s="245">
        <v>-20</v>
      </c>
      <c r="Y946" s="245">
        <v>-13</v>
      </c>
      <c r="Z946" s="245">
        <v>-36</v>
      </c>
      <c r="AA946" s="245">
        <v>7.3</v>
      </c>
      <c r="AB946" s="245">
        <v>179</v>
      </c>
      <c r="AC946" s="245">
        <v>-5.7</v>
      </c>
      <c r="AD946" s="245">
        <v>280</v>
      </c>
      <c r="AE946" s="245">
        <v>-2.2000000000000002</v>
      </c>
      <c r="AF946" s="245">
        <v>312</v>
      </c>
      <c r="AG946" s="245">
        <v>-1.1000000000000001</v>
      </c>
      <c r="AH946" s="245">
        <v>69</v>
      </c>
      <c r="AI946" s="245">
        <v>64</v>
      </c>
      <c r="AJ946" s="245">
        <v>865</v>
      </c>
      <c r="AK946" s="245" t="s">
        <v>996</v>
      </c>
      <c r="AL946" s="245" t="s">
        <v>931</v>
      </c>
      <c r="AM946" s="246" t="s">
        <v>931</v>
      </c>
      <c r="AN946" s="235">
        <v>125</v>
      </c>
      <c r="AO946" s="247" t="s">
        <v>1817</v>
      </c>
      <c r="AP946" s="247">
        <v>1010</v>
      </c>
      <c r="AQ946" s="247">
        <v>13</v>
      </c>
      <c r="AR946" s="247">
        <v>17.600000000000001</v>
      </c>
      <c r="AS946" s="247">
        <v>15.4</v>
      </c>
      <c r="AT946" s="247">
        <v>28</v>
      </c>
      <c r="AU946" s="247">
        <v>7.5</v>
      </c>
      <c r="AV946" s="247">
        <v>88</v>
      </c>
      <c r="AW946" s="247">
        <v>81</v>
      </c>
      <c r="AX946" s="247">
        <v>548</v>
      </c>
      <c r="AY946" s="247" t="s">
        <v>965</v>
      </c>
      <c r="AZ946" s="247" t="s">
        <v>1005</v>
      </c>
      <c r="BA946" s="248" t="s">
        <v>934</v>
      </c>
      <c r="BB946" s="235"/>
      <c r="BC946" s="247" t="s">
        <v>1815</v>
      </c>
      <c r="BD946" s="247"/>
      <c r="BE946" s="247"/>
      <c r="BF946" s="247"/>
      <c r="BG946" s="247"/>
      <c r="BH946" s="247"/>
      <c r="BI946" s="247"/>
      <c r="BJ946" s="247"/>
      <c r="BK946" s="247"/>
      <c r="BL946" s="247"/>
      <c r="BM946" s="247"/>
      <c r="BN946" s="247"/>
      <c r="BO946" s="247"/>
      <c r="BP946" s="248"/>
    </row>
    <row r="947" spans="1:68" ht="14.25" customHeight="1">
      <c r="A947" s="233">
        <v>290</v>
      </c>
      <c r="B947" s="234">
        <v>245</v>
      </c>
      <c r="C947" s="244" t="s">
        <v>928</v>
      </c>
      <c r="D947" s="244" t="s">
        <v>1818</v>
      </c>
      <c r="E947" s="244" t="s">
        <v>1819</v>
      </c>
      <c r="F947" s="245">
        <v>-15.4</v>
      </c>
      <c r="G947" s="245">
        <v>-14.5</v>
      </c>
      <c r="H947" s="245">
        <v>-7.3</v>
      </c>
      <c r="I947" s="245">
        <v>4.9000000000000004</v>
      </c>
      <c r="J947" s="245">
        <v>14.2</v>
      </c>
      <c r="K947" s="245">
        <v>18.600000000000001</v>
      </c>
      <c r="L947" s="245">
        <v>20.6</v>
      </c>
      <c r="M947" s="245">
        <v>18.8</v>
      </c>
      <c r="N947" s="245">
        <v>12.7</v>
      </c>
      <c r="O947" s="245">
        <v>3.9</v>
      </c>
      <c r="P947" s="245">
        <v>-4.7</v>
      </c>
      <c r="Q947" s="245">
        <v>-11.9</v>
      </c>
      <c r="R947" s="246">
        <v>3.3</v>
      </c>
      <c r="S947" s="233">
        <v>245</v>
      </c>
      <c r="T947" s="247" t="s">
        <v>1820</v>
      </c>
      <c r="U947" s="245">
        <v>-41</v>
      </c>
      <c r="V947" s="245">
        <v>-38</v>
      </c>
      <c r="W947" s="245">
        <v>-34</v>
      </c>
      <c r="X947" s="245">
        <v>-30</v>
      </c>
      <c r="Y947" s="245">
        <v>-20</v>
      </c>
      <c r="Z947" s="245">
        <v>-44</v>
      </c>
      <c r="AA947" s="245">
        <v>8.1</v>
      </c>
      <c r="AB947" s="245">
        <v>153</v>
      </c>
      <c r="AC947" s="245">
        <v>-10.6</v>
      </c>
      <c r="AD947" s="245">
        <v>204</v>
      </c>
      <c r="AE947" s="245">
        <v>-6.9</v>
      </c>
      <c r="AF947" s="245">
        <v>217</v>
      </c>
      <c r="AG947" s="245">
        <v>-6</v>
      </c>
      <c r="AH947" s="245">
        <v>76</v>
      </c>
      <c r="AI947" s="245">
        <v>74</v>
      </c>
      <c r="AJ947" s="245">
        <v>169</v>
      </c>
      <c r="AK947" s="245" t="s">
        <v>950</v>
      </c>
      <c r="AL947" s="245">
        <v>5.7</v>
      </c>
      <c r="AM947" s="246">
        <v>4.0999999999999996</v>
      </c>
      <c r="AN947" s="235">
        <v>245</v>
      </c>
      <c r="AO947" s="247" t="s">
        <v>1821</v>
      </c>
      <c r="AP947" s="247">
        <v>1000</v>
      </c>
      <c r="AQ947" s="247">
        <v>27</v>
      </c>
      <c r="AR947" s="247">
        <v>32</v>
      </c>
      <c r="AS947" s="247">
        <v>27.5</v>
      </c>
      <c r="AT947" s="247">
        <v>42</v>
      </c>
      <c r="AU947" s="247">
        <v>13.7</v>
      </c>
      <c r="AV947" s="247">
        <v>60</v>
      </c>
      <c r="AW947" s="247">
        <v>41</v>
      </c>
      <c r="AX947" s="247">
        <v>301</v>
      </c>
      <c r="AY947" s="247" t="s">
        <v>965</v>
      </c>
      <c r="AZ947" s="247" t="s">
        <v>952</v>
      </c>
      <c r="BA947" s="248">
        <v>0</v>
      </c>
      <c r="BB947" s="235">
        <v>216</v>
      </c>
      <c r="BC947" s="247" t="s">
        <v>1819</v>
      </c>
      <c r="BD947" s="247">
        <v>1.7</v>
      </c>
      <c r="BE947" s="247">
        <v>1.8</v>
      </c>
      <c r="BF947" s="247">
        <v>3.2</v>
      </c>
      <c r="BG947" s="247">
        <v>5.8</v>
      </c>
      <c r="BH947" s="247">
        <v>8.5</v>
      </c>
      <c r="BI947" s="247">
        <v>11.9</v>
      </c>
      <c r="BJ947" s="247">
        <v>14</v>
      </c>
      <c r="BK947" s="247">
        <v>12.1</v>
      </c>
      <c r="BL947" s="247">
        <v>8.6</v>
      </c>
      <c r="BM947" s="247">
        <v>5.7</v>
      </c>
      <c r="BN947" s="247">
        <v>3.8</v>
      </c>
      <c r="BO947" s="247">
        <v>2.5</v>
      </c>
      <c r="BP947" s="248">
        <v>6.6</v>
      </c>
    </row>
    <row r="948" spans="1:68" ht="14.25" customHeight="1">
      <c r="A948" s="233">
        <v>291</v>
      </c>
      <c r="B948" s="234">
        <v>579</v>
      </c>
      <c r="C948" s="244" t="s">
        <v>1353</v>
      </c>
      <c r="D948" s="244" t="s">
        <v>1822</v>
      </c>
      <c r="E948" s="244" t="s">
        <v>1823</v>
      </c>
      <c r="F948" s="245">
        <v>2.2999999999999998</v>
      </c>
      <c r="G948" s="245">
        <v>5.4</v>
      </c>
      <c r="H948" s="245">
        <v>10.4</v>
      </c>
      <c r="I948" s="245">
        <v>16.7</v>
      </c>
      <c r="J948" s="245">
        <v>21.5</v>
      </c>
      <c r="K948" s="245">
        <v>27.2</v>
      </c>
      <c r="L948" s="245">
        <v>30.2</v>
      </c>
      <c r="M948" s="245">
        <v>28.5</v>
      </c>
      <c r="N948" s="245">
        <v>23.4</v>
      </c>
      <c r="O948" s="245">
        <v>16.899999999999999</v>
      </c>
      <c r="P948" s="245">
        <v>10</v>
      </c>
      <c r="Q948" s="245">
        <v>4.8</v>
      </c>
      <c r="R948" s="246">
        <v>16.399999999999999</v>
      </c>
      <c r="S948" s="251"/>
      <c r="T948" s="247" t="s">
        <v>1824</v>
      </c>
      <c r="U948" s="247"/>
      <c r="V948" s="247"/>
      <c r="W948" s="247"/>
      <c r="X948" s="247"/>
      <c r="Y948" s="247"/>
      <c r="Z948" s="247"/>
      <c r="AA948" s="247"/>
      <c r="AB948" s="247"/>
      <c r="AC948" s="247"/>
      <c r="AD948" s="247"/>
      <c r="AE948" s="247"/>
      <c r="AF948" s="247"/>
      <c r="AG948" s="247"/>
      <c r="AH948" s="247"/>
      <c r="AI948" s="247"/>
      <c r="AJ948" s="247"/>
      <c r="AK948" s="247"/>
      <c r="AL948" s="247"/>
      <c r="AM948" s="248"/>
      <c r="AN948" s="235"/>
      <c r="AO948" s="247" t="s">
        <v>1824</v>
      </c>
      <c r="AP948" s="247"/>
      <c r="AQ948" s="247"/>
      <c r="AR948" s="247"/>
      <c r="AS948" s="247"/>
      <c r="AT948" s="247"/>
      <c r="AU948" s="247"/>
      <c r="AV948" s="247"/>
      <c r="AW948" s="247"/>
      <c r="AX948" s="247"/>
      <c r="AY948" s="247"/>
      <c r="AZ948" s="247"/>
      <c r="BA948" s="248"/>
      <c r="BB948" s="235"/>
      <c r="BC948" s="247" t="s">
        <v>1823</v>
      </c>
      <c r="BD948" s="247"/>
      <c r="BE948" s="247"/>
      <c r="BF948" s="247"/>
      <c r="BG948" s="247"/>
      <c r="BH948" s="247"/>
      <c r="BI948" s="247"/>
      <c r="BJ948" s="247"/>
      <c r="BK948" s="247"/>
      <c r="BL948" s="247"/>
      <c r="BM948" s="247"/>
      <c r="BN948" s="247"/>
      <c r="BO948" s="247"/>
      <c r="BP948" s="248"/>
    </row>
    <row r="949" spans="1:68" ht="14.25" customHeight="1">
      <c r="A949" s="233">
        <v>292</v>
      </c>
      <c r="B949" s="234">
        <v>236</v>
      </c>
      <c r="C949" s="244" t="s">
        <v>928</v>
      </c>
      <c r="D949" s="244" t="s">
        <v>1119</v>
      </c>
      <c r="E949" s="244" t="s">
        <v>1825</v>
      </c>
      <c r="F949" s="245">
        <v>-19.600000000000001</v>
      </c>
      <c r="G949" s="245">
        <v>-18.600000000000001</v>
      </c>
      <c r="H949" s="245">
        <v>-11.7</v>
      </c>
      <c r="I949" s="245">
        <v>1.3</v>
      </c>
      <c r="J949" s="245">
        <v>11.2</v>
      </c>
      <c r="K949" s="245">
        <v>17.399999999999999</v>
      </c>
      <c r="L949" s="245">
        <v>19.5</v>
      </c>
      <c r="M949" s="245">
        <v>16.3</v>
      </c>
      <c r="N949" s="245">
        <v>10.5</v>
      </c>
      <c r="O949" s="245">
        <v>1.9</v>
      </c>
      <c r="P949" s="245">
        <v>-8.6</v>
      </c>
      <c r="Q949" s="245">
        <v>-16.7</v>
      </c>
      <c r="R949" s="246">
        <v>0.2</v>
      </c>
      <c r="S949" s="233">
        <v>236</v>
      </c>
      <c r="T949" s="247" t="s">
        <v>1826</v>
      </c>
      <c r="U949" s="245">
        <v>-42</v>
      </c>
      <c r="V949" s="245">
        <v>-41</v>
      </c>
      <c r="W949" s="245">
        <v>-41</v>
      </c>
      <c r="X949" s="245">
        <v>-38</v>
      </c>
      <c r="Y949" s="245">
        <v>-25</v>
      </c>
      <c r="Z949" s="245">
        <v>-49</v>
      </c>
      <c r="AA949" s="245">
        <v>9</v>
      </c>
      <c r="AB949" s="245">
        <v>173</v>
      </c>
      <c r="AC949" s="245">
        <v>-12.9</v>
      </c>
      <c r="AD949" s="245">
        <v>224</v>
      </c>
      <c r="AE949" s="245">
        <v>-9</v>
      </c>
      <c r="AF949" s="245">
        <v>237</v>
      </c>
      <c r="AG949" s="245">
        <v>-8</v>
      </c>
      <c r="AH949" s="245">
        <v>80</v>
      </c>
      <c r="AI949" s="245">
        <v>79</v>
      </c>
      <c r="AJ949" s="245">
        <v>59</v>
      </c>
      <c r="AK949" s="245" t="s">
        <v>971</v>
      </c>
      <c r="AL949" s="245">
        <v>6.7</v>
      </c>
      <c r="AM949" s="246">
        <v>5.7</v>
      </c>
      <c r="AN949" s="235">
        <v>236</v>
      </c>
      <c r="AO949" s="247" t="s">
        <v>1827</v>
      </c>
      <c r="AP949" s="247">
        <v>995</v>
      </c>
      <c r="AQ949" s="247">
        <v>23.4</v>
      </c>
      <c r="AR949" s="247">
        <v>27.5</v>
      </c>
      <c r="AS949" s="247">
        <v>25.8</v>
      </c>
      <c r="AT949" s="247">
        <v>40</v>
      </c>
      <c r="AU949" s="247">
        <v>12.5</v>
      </c>
      <c r="AV949" s="247">
        <v>67</v>
      </c>
      <c r="AW949" s="247">
        <v>50</v>
      </c>
      <c r="AX949" s="247">
        <v>263</v>
      </c>
      <c r="AY949" s="247">
        <v>93</v>
      </c>
      <c r="AZ949" s="247" t="s">
        <v>952</v>
      </c>
      <c r="BA949" s="248">
        <v>4</v>
      </c>
      <c r="BB949" s="235">
        <v>208</v>
      </c>
      <c r="BC949" s="247" t="s">
        <v>1825</v>
      </c>
      <c r="BD949" s="247">
        <v>1.3</v>
      </c>
      <c r="BE949" s="247">
        <v>1.5</v>
      </c>
      <c r="BF949" s="247">
        <v>2.5</v>
      </c>
      <c r="BG949" s="247">
        <v>5.2</v>
      </c>
      <c r="BH949" s="247">
        <v>7.2</v>
      </c>
      <c r="BI949" s="247">
        <v>11.5</v>
      </c>
      <c r="BJ949" s="247">
        <v>14.8</v>
      </c>
      <c r="BK949" s="247">
        <v>12.8</v>
      </c>
      <c r="BL949" s="247">
        <v>8.8000000000000007</v>
      </c>
      <c r="BM949" s="247">
        <v>5.4</v>
      </c>
      <c r="BN949" s="247">
        <v>3.1</v>
      </c>
      <c r="BO949" s="247">
        <v>1.8</v>
      </c>
      <c r="BP949" s="248">
        <v>6.3</v>
      </c>
    </row>
    <row r="950" spans="1:68" ht="14.25" customHeight="1">
      <c r="A950" s="233">
        <v>293</v>
      </c>
      <c r="B950" s="234">
        <v>195</v>
      </c>
      <c r="C950" s="244" t="s">
        <v>928</v>
      </c>
      <c r="D950" s="244" t="s">
        <v>1828</v>
      </c>
      <c r="E950" s="244" t="s">
        <v>181</v>
      </c>
      <c r="F950" s="245">
        <v>-17.7</v>
      </c>
      <c r="G950" s="245">
        <v>-16.600000000000001</v>
      </c>
      <c r="H950" s="245">
        <v>-8.6</v>
      </c>
      <c r="I950" s="245">
        <v>4.0999999999999996</v>
      </c>
      <c r="J950" s="245">
        <v>12.6</v>
      </c>
      <c r="K950" s="245">
        <v>17.2</v>
      </c>
      <c r="L950" s="245">
        <v>19.100000000000001</v>
      </c>
      <c r="M950" s="245">
        <v>16.3</v>
      </c>
      <c r="N950" s="245">
        <v>10.9</v>
      </c>
      <c r="O950" s="245">
        <v>2.4</v>
      </c>
      <c r="P950" s="245">
        <v>-7.2</v>
      </c>
      <c r="Q950" s="245">
        <v>-14.3</v>
      </c>
      <c r="R950" s="246">
        <v>1.5</v>
      </c>
      <c r="S950" s="233">
        <v>195</v>
      </c>
      <c r="T950" s="247" t="s">
        <v>1829</v>
      </c>
      <c r="U950" s="245">
        <v>-43</v>
      </c>
      <c r="V950" s="245">
        <v>-41</v>
      </c>
      <c r="W950" s="245">
        <v>-39</v>
      </c>
      <c r="X950" s="245">
        <v>-37</v>
      </c>
      <c r="Y950" s="245">
        <v>-23</v>
      </c>
      <c r="Z950" s="245">
        <v>-48</v>
      </c>
      <c r="AA950" s="245">
        <v>8.4</v>
      </c>
      <c r="AB950" s="245">
        <v>164</v>
      </c>
      <c r="AC950" s="245">
        <v>-11.4</v>
      </c>
      <c r="AD950" s="245">
        <v>216</v>
      </c>
      <c r="AE950" s="245">
        <v>-7.7</v>
      </c>
      <c r="AF950" s="245">
        <v>230</v>
      </c>
      <c r="AG950" s="245">
        <v>-6.6</v>
      </c>
      <c r="AH950" s="245">
        <v>79</v>
      </c>
      <c r="AI950" s="245">
        <v>74</v>
      </c>
      <c r="AJ950" s="245">
        <v>95</v>
      </c>
      <c r="AK950" s="245" t="s">
        <v>963</v>
      </c>
      <c r="AL950" s="245" t="s">
        <v>931</v>
      </c>
      <c r="AM950" s="246">
        <v>4.4000000000000004</v>
      </c>
      <c r="AN950" s="235">
        <v>195</v>
      </c>
      <c r="AO950" s="247" t="s">
        <v>1830</v>
      </c>
      <c r="AP950" s="247">
        <v>1000</v>
      </c>
      <c r="AQ950" s="247">
        <v>23.8</v>
      </c>
      <c r="AR950" s="247">
        <v>28.1</v>
      </c>
      <c r="AS950" s="247">
        <v>25.2</v>
      </c>
      <c r="AT950" s="247">
        <v>41</v>
      </c>
      <c r="AU950" s="247">
        <v>11.9</v>
      </c>
      <c r="AV950" s="247">
        <v>69</v>
      </c>
      <c r="AW950" s="247">
        <v>54</v>
      </c>
      <c r="AX950" s="247">
        <v>286</v>
      </c>
      <c r="AY950" s="247">
        <v>87</v>
      </c>
      <c r="AZ950" s="247" t="s">
        <v>1005</v>
      </c>
      <c r="BA950" s="248" t="s">
        <v>934</v>
      </c>
      <c r="BB950" s="235">
        <v>171</v>
      </c>
      <c r="BC950" s="247" t="s">
        <v>181</v>
      </c>
      <c r="BD950" s="247">
        <v>1.5</v>
      </c>
      <c r="BE950" s="247">
        <v>1.6</v>
      </c>
      <c r="BF950" s="247">
        <v>2.8</v>
      </c>
      <c r="BG950" s="247">
        <v>5.6</v>
      </c>
      <c r="BH950" s="247">
        <v>8.1</v>
      </c>
      <c r="BI950" s="247">
        <v>11.9</v>
      </c>
      <c r="BJ950" s="247">
        <v>14.9</v>
      </c>
      <c r="BK950" s="247">
        <v>13.2</v>
      </c>
      <c r="BL950" s="247">
        <v>9.4</v>
      </c>
      <c r="BM950" s="247">
        <v>5.6</v>
      </c>
      <c r="BN950" s="247">
        <v>3.3</v>
      </c>
      <c r="BO950" s="247">
        <v>2</v>
      </c>
      <c r="BP950" s="248">
        <v>6.7</v>
      </c>
    </row>
    <row r="951" spans="1:68" ht="14.25" customHeight="1">
      <c r="A951" s="233">
        <v>294</v>
      </c>
      <c r="B951" s="234">
        <v>580</v>
      </c>
      <c r="C951" s="244" t="s">
        <v>1353</v>
      </c>
      <c r="D951" s="244" t="s">
        <v>1822</v>
      </c>
      <c r="E951" s="244" t="s">
        <v>1831</v>
      </c>
      <c r="F951" s="245">
        <v>1.8</v>
      </c>
      <c r="G951" s="245">
        <v>5.4</v>
      </c>
      <c r="H951" s="245">
        <v>10.8</v>
      </c>
      <c r="I951" s="245">
        <v>17.399999999999999</v>
      </c>
      <c r="J951" s="245">
        <v>22.5</v>
      </c>
      <c r="K951" s="245">
        <v>27.1</v>
      </c>
      <c r="L951" s="245">
        <v>28.6</v>
      </c>
      <c r="M951" s="245">
        <v>26.4</v>
      </c>
      <c r="N951" s="245">
        <v>21.2</v>
      </c>
      <c r="O951" s="245">
        <v>15.4</v>
      </c>
      <c r="P951" s="245">
        <v>9</v>
      </c>
      <c r="Q951" s="245">
        <v>4.0999999999999996</v>
      </c>
      <c r="R951" s="246">
        <v>15.8</v>
      </c>
      <c r="S951" s="251"/>
      <c r="T951" s="247" t="s">
        <v>1832</v>
      </c>
      <c r="U951" s="245"/>
      <c r="V951" s="245"/>
      <c r="W951" s="245"/>
      <c r="X951" s="245"/>
      <c r="Y951" s="245"/>
      <c r="Z951" s="245"/>
      <c r="AA951" s="245"/>
      <c r="AB951" s="245"/>
      <c r="AC951" s="245"/>
      <c r="AD951" s="245"/>
      <c r="AE951" s="245"/>
      <c r="AF951" s="245"/>
      <c r="AG951" s="245"/>
      <c r="AH951" s="245"/>
      <c r="AI951" s="245"/>
      <c r="AJ951" s="245"/>
      <c r="AK951" s="245"/>
      <c r="AL951" s="245"/>
      <c r="AM951" s="246"/>
      <c r="AN951" s="235"/>
      <c r="AO951" s="247" t="s">
        <v>1832</v>
      </c>
      <c r="AP951" s="247"/>
      <c r="AQ951" s="247"/>
      <c r="AR951" s="247"/>
      <c r="AS951" s="247"/>
      <c r="AT951" s="247"/>
      <c r="AU951" s="247"/>
      <c r="AV951" s="247"/>
      <c r="AW951" s="247"/>
      <c r="AX951" s="247"/>
      <c r="AY951" s="247"/>
      <c r="AZ951" s="247"/>
      <c r="BA951" s="248"/>
      <c r="BB951" s="235"/>
      <c r="BC951" s="247" t="s">
        <v>1831</v>
      </c>
      <c r="BD951" s="247"/>
      <c r="BE951" s="247"/>
      <c r="BF951" s="247"/>
      <c r="BG951" s="247"/>
      <c r="BH951" s="247"/>
      <c r="BI951" s="247"/>
      <c r="BJ951" s="247"/>
      <c r="BK951" s="247"/>
      <c r="BL951" s="247"/>
      <c r="BM951" s="247"/>
      <c r="BN951" s="247"/>
      <c r="BO951" s="247"/>
      <c r="BP951" s="248"/>
    </row>
    <row r="952" spans="1:68" ht="14.25" customHeight="1">
      <c r="A952" s="233">
        <v>295</v>
      </c>
      <c r="B952" s="234">
        <v>291</v>
      </c>
      <c r="C952" s="244" t="s">
        <v>928</v>
      </c>
      <c r="D952" s="244" t="s">
        <v>992</v>
      </c>
      <c r="E952" s="244" t="s">
        <v>1833</v>
      </c>
      <c r="F952" s="245">
        <v>-5.2</v>
      </c>
      <c r="G952" s="245">
        <v>-6.7</v>
      </c>
      <c r="H952" s="245">
        <v>-4</v>
      </c>
      <c r="I952" s="245">
        <v>1.5</v>
      </c>
      <c r="J952" s="245">
        <v>5.9</v>
      </c>
      <c r="K952" s="245">
        <v>9.1999999999999993</v>
      </c>
      <c r="L952" s="245">
        <v>13.5</v>
      </c>
      <c r="M952" s="245">
        <v>15.3</v>
      </c>
      <c r="N952" s="245">
        <v>13.1</v>
      </c>
      <c r="O952" s="245">
        <v>8.8000000000000007</v>
      </c>
      <c r="P952" s="245">
        <v>3.2</v>
      </c>
      <c r="Q952" s="245">
        <v>-1.5</v>
      </c>
      <c r="R952" s="246">
        <v>4.4000000000000004</v>
      </c>
      <c r="S952" s="233">
        <v>291</v>
      </c>
      <c r="T952" s="247" t="s">
        <v>1834</v>
      </c>
      <c r="U952" s="245">
        <v>-21</v>
      </c>
      <c r="V952" s="245">
        <v>-17</v>
      </c>
      <c r="W952" s="245">
        <v>-19</v>
      </c>
      <c r="X952" s="245">
        <v>-15</v>
      </c>
      <c r="Y952" s="245">
        <v>-12</v>
      </c>
      <c r="Z952" s="245">
        <v>-27</v>
      </c>
      <c r="AA952" s="245">
        <v>6.9</v>
      </c>
      <c r="AB952" s="245">
        <v>122</v>
      </c>
      <c r="AC952" s="245">
        <v>-4</v>
      </c>
      <c r="AD952" s="245">
        <v>227</v>
      </c>
      <c r="AE952" s="245">
        <v>-0.2</v>
      </c>
      <c r="AF952" s="245">
        <v>257</v>
      </c>
      <c r="AG952" s="245">
        <v>0.8</v>
      </c>
      <c r="AH952" s="245">
        <v>80</v>
      </c>
      <c r="AI952" s="245">
        <v>75</v>
      </c>
      <c r="AJ952" s="245">
        <v>466</v>
      </c>
      <c r="AK952" s="245" t="s">
        <v>944</v>
      </c>
      <c r="AL952" s="245">
        <v>11.9</v>
      </c>
      <c r="AM952" s="246">
        <v>6.4</v>
      </c>
      <c r="AN952" s="235">
        <v>285</v>
      </c>
      <c r="AO952" s="247" t="s">
        <v>1835</v>
      </c>
      <c r="AP952" s="247">
        <v>1010</v>
      </c>
      <c r="AQ952" s="247">
        <v>16.899999999999999</v>
      </c>
      <c r="AR952" s="247">
        <v>21.3</v>
      </c>
      <c r="AS952" s="247">
        <v>19.3</v>
      </c>
      <c r="AT952" s="247">
        <v>31</v>
      </c>
      <c r="AU952" s="247">
        <v>7.2</v>
      </c>
      <c r="AV952" s="247">
        <v>89</v>
      </c>
      <c r="AW952" s="247">
        <v>84</v>
      </c>
      <c r="AX952" s="247">
        <v>642</v>
      </c>
      <c r="AY952" s="247">
        <v>170</v>
      </c>
      <c r="AZ952" s="247" t="s">
        <v>1038</v>
      </c>
      <c r="BA952" s="248">
        <v>0</v>
      </c>
      <c r="BB952" s="235">
        <v>256</v>
      </c>
      <c r="BC952" s="247" t="s">
        <v>1833</v>
      </c>
      <c r="BD952" s="247">
        <v>3.5</v>
      </c>
      <c r="BE952" s="247">
        <v>3.1</v>
      </c>
      <c r="BF952" s="247">
        <v>3.8</v>
      </c>
      <c r="BG952" s="247">
        <v>5.4</v>
      </c>
      <c r="BH952" s="247">
        <v>7.5</v>
      </c>
      <c r="BI952" s="247">
        <v>10.199999999999999</v>
      </c>
      <c r="BJ952" s="247">
        <v>14</v>
      </c>
      <c r="BK952" s="247">
        <v>15.8</v>
      </c>
      <c r="BL952" s="247">
        <v>13.1</v>
      </c>
      <c r="BM952" s="247">
        <v>9.6</v>
      </c>
      <c r="BN952" s="247">
        <v>6.5</v>
      </c>
      <c r="BO952" s="247">
        <v>4.5</v>
      </c>
      <c r="BP952" s="248">
        <v>8.1</v>
      </c>
    </row>
    <row r="953" spans="1:68" ht="14.25" customHeight="1">
      <c r="A953" s="233">
        <v>296</v>
      </c>
      <c r="B953" s="234">
        <v>196</v>
      </c>
      <c r="C953" s="244" t="s">
        <v>928</v>
      </c>
      <c r="D953" s="244" t="s">
        <v>1836</v>
      </c>
      <c r="E953" s="244" t="s">
        <v>1837</v>
      </c>
      <c r="F953" s="245">
        <v>-9.3000000000000007</v>
      </c>
      <c r="G953" s="245">
        <v>-7.8</v>
      </c>
      <c r="H953" s="245">
        <v>-3</v>
      </c>
      <c r="I953" s="245">
        <v>6.6</v>
      </c>
      <c r="J953" s="245">
        <v>13.9</v>
      </c>
      <c r="K953" s="245">
        <v>17.2</v>
      </c>
      <c r="L953" s="245">
        <v>18.7</v>
      </c>
      <c r="M953" s="245">
        <v>17.600000000000001</v>
      </c>
      <c r="N953" s="245">
        <v>12.2</v>
      </c>
      <c r="O953" s="245">
        <v>5.6</v>
      </c>
      <c r="P953" s="245">
        <v>-0.4</v>
      </c>
      <c r="Q953" s="245">
        <v>-5.2</v>
      </c>
      <c r="R953" s="246">
        <v>5.5</v>
      </c>
      <c r="S953" s="233">
        <v>196</v>
      </c>
      <c r="T953" s="247" t="s">
        <v>1838</v>
      </c>
      <c r="U953" s="245">
        <v>-32</v>
      </c>
      <c r="V953" s="245">
        <v>-30</v>
      </c>
      <c r="W953" s="245">
        <v>-29</v>
      </c>
      <c r="X953" s="245">
        <v>-26</v>
      </c>
      <c r="Y953" s="245">
        <v>-14</v>
      </c>
      <c r="Z953" s="245">
        <v>-35</v>
      </c>
      <c r="AA953" s="245">
        <v>6.3</v>
      </c>
      <c r="AB953" s="245">
        <v>132</v>
      </c>
      <c r="AC953" s="245">
        <v>-5.6</v>
      </c>
      <c r="AD953" s="245">
        <v>198</v>
      </c>
      <c r="AE953" s="245">
        <v>-2.4</v>
      </c>
      <c r="AF953" s="245">
        <v>216</v>
      </c>
      <c r="AG953" s="245">
        <v>-1.4</v>
      </c>
      <c r="AH953" s="245">
        <v>86</v>
      </c>
      <c r="AI953" s="245">
        <v>78</v>
      </c>
      <c r="AJ953" s="245">
        <v>212</v>
      </c>
      <c r="AK953" s="245" t="s">
        <v>971</v>
      </c>
      <c r="AL953" s="245">
        <v>5.3</v>
      </c>
      <c r="AM953" s="246">
        <v>4.4000000000000004</v>
      </c>
      <c r="AN953" s="235">
        <v>196</v>
      </c>
      <c r="AO953" s="247" t="s">
        <v>1839</v>
      </c>
      <c r="AP953" s="247">
        <v>985</v>
      </c>
      <c r="AQ953" s="247">
        <v>21.6</v>
      </c>
      <c r="AR953" s="247">
        <v>25.8</v>
      </c>
      <c r="AS953" s="247">
        <v>24</v>
      </c>
      <c r="AT953" s="247">
        <v>37</v>
      </c>
      <c r="AU953" s="247">
        <v>10</v>
      </c>
      <c r="AV953" s="247">
        <v>69</v>
      </c>
      <c r="AW953" s="247">
        <v>56</v>
      </c>
      <c r="AX953" s="247">
        <v>375</v>
      </c>
      <c r="AY953" s="247">
        <v>144</v>
      </c>
      <c r="AZ953" s="247" t="s">
        <v>940</v>
      </c>
      <c r="BA953" s="248">
        <v>3.5</v>
      </c>
      <c r="BB953" s="235">
        <v>172</v>
      </c>
      <c r="BC953" s="247" t="s">
        <v>1837</v>
      </c>
      <c r="BD953" s="247">
        <v>3.1</v>
      </c>
      <c r="BE953" s="247">
        <v>3.3</v>
      </c>
      <c r="BF953" s="247">
        <v>4.4000000000000004</v>
      </c>
      <c r="BG953" s="247">
        <v>7</v>
      </c>
      <c r="BH953" s="247">
        <v>9.6</v>
      </c>
      <c r="BI953" s="247">
        <v>12.8</v>
      </c>
      <c r="BJ953" s="247">
        <v>15</v>
      </c>
      <c r="BK953" s="247">
        <v>14</v>
      </c>
      <c r="BL953" s="247">
        <v>10.5</v>
      </c>
      <c r="BM953" s="247">
        <v>7.4</v>
      </c>
      <c r="BN953" s="247">
        <v>5.5</v>
      </c>
      <c r="BO953" s="247">
        <v>4</v>
      </c>
      <c r="BP953" s="248">
        <v>8.1</v>
      </c>
    </row>
    <row r="954" spans="1:68" ht="14.25" customHeight="1">
      <c r="A954" s="233">
        <v>297</v>
      </c>
      <c r="B954" s="234">
        <v>524</v>
      </c>
      <c r="C954" s="244" t="s">
        <v>960</v>
      </c>
      <c r="D954" s="244" t="s">
        <v>1840</v>
      </c>
      <c r="E954" s="244" t="s">
        <v>1841</v>
      </c>
      <c r="F954" s="245">
        <v>-17</v>
      </c>
      <c r="G954" s="245">
        <v>-16.600000000000001</v>
      </c>
      <c r="H954" s="245">
        <v>-9.8000000000000007</v>
      </c>
      <c r="I954" s="245">
        <v>3.8</v>
      </c>
      <c r="J954" s="245">
        <v>13</v>
      </c>
      <c r="K954" s="245">
        <v>18.600000000000001</v>
      </c>
      <c r="L954" s="245">
        <v>20.399999999999999</v>
      </c>
      <c r="M954" s="245">
        <v>17.899999999999999</v>
      </c>
      <c r="N954" s="245">
        <v>12</v>
      </c>
      <c r="O954" s="245">
        <v>3</v>
      </c>
      <c r="P954" s="245">
        <v>-6.2</v>
      </c>
      <c r="Q954" s="245">
        <v>-14.1</v>
      </c>
      <c r="R954" s="246">
        <v>2.1</v>
      </c>
      <c r="S954" s="233">
        <v>524</v>
      </c>
      <c r="T954" s="247" t="s">
        <v>1841</v>
      </c>
      <c r="U954" s="245">
        <v>-40</v>
      </c>
      <c r="V954" s="245">
        <v>-36</v>
      </c>
      <c r="W954" s="245">
        <v>-37</v>
      </c>
      <c r="X954" s="245">
        <v>-34</v>
      </c>
      <c r="Y954" s="245">
        <v>-24</v>
      </c>
      <c r="Z954" s="245" t="s">
        <v>931</v>
      </c>
      <c r="AA954" s="245">
        <v>8.6999999999999993</v>
      </c>
      <c r="AB954" s="245">
        <v>161</v>
      </c>
      <c r="AC954" s="245">
        <v>-12</v>
      </c>
      <c r="AD954" s="245">
        <v>212</v>
      </c>
      <c r="AE954" s="245">
        <v>-8.1</v>
      </c>
      <c r="AF954" s="245">
        <v>224</v>
      </c>
      <c r="AG954" s="245">
        <v>-7.2</v>
      </c>
      <c r="AH954" s="245">
        <v>81</v>
      </c>
      <c r="AI954" s="245">
        <v>78</v>
      </c>
      <c r="AJ954" s="245">
        <v>73</v>
      </c>
      <c r="AK954" s="245" t="s">
        <v>931</v>
      </c>
      <c r="AL954" s="245" t="s">
        <v>931</v>
      </c>
      <c r="AM954" s="246">
        <v>4.5999999999999996</v>
      </c>
      <c r="AN954" s="235">
        <v>524</v>
      </c>
      <c r="AO954" s="247" t="s">
        <v>1842</v>
      </c>
      <c r="AP954" s="247">
        <v>1000</v>
      </c>
      <c r="AQ954" s="247">
        <v>25.2</v>
      </c>
      <c r="AR954" s="247">
        <v>29.6</v>
      </c>
      <c r="AS954" s="247">
        <v>26.7</v>
      </c>
      <c r="AT954" s="247">
        <v>42</v>
      </c>
      <c r="AU954" s="247">
        <v>13.2</v>
      </c>
      <c r="AV954" s="247">
        <v>62</v>
      </c>
      <c r="AW954" s="247">
        <v>44</v>
      </c>
      <c r="AX954" s="247">
        <v>237</v>
      </c>
      <c r="AY954" s="247" t="s">
        <v>965</v>
      </c>
      <c r="AZ954" s="247" t="s">
        <v>933</v>
      </c>
      <c r="BA954" s="248" t="s">
        <v>934</v>
      </c>
      <c r="BB954" s="235"/>
      <c r="BC954" s="247" t="s">
        <v>1841</v>
      </c>
      <c r="BD954" s="247"/>
      <c r="BE954" s="247"/>
      <c r="BF954" s="247"/>
      <c r="BG954" s="247"/>
      <c r="BH954" s="247"/>
      <c r="BI954" s="247"/>
      <c r="BJ954" s="247"/>
      <c r="BK954" s="247"/>
      <c r="BL954" s="247"/>
      <c r="BM954" s="247"/>
      <c r="BN954" s="247"/>
      <c r="BO954" s="247"/>
      <c r="BP954" s="248"/>
    </row>
    <row r="955" spans="1:68" ht="14.25" customHeight="1">
      <c r="A955" s="233">
        <v>298</v>
      </c>
      <c r="B955" s="234">
        <v>563</v>
      </c>
      <c r="C955" s="249" t="s">
        <v>1074</v>
      </c>
      <c r="D955" s="249" t="s">
        <v>1102</v>
      </c>
      <c r="E955" s="244" t="s">
        <v>1843</v>
      </c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6"/>
      <c r="S955" s="250">
        <v>563</v>
      </c>
      <c r="T955" s="247" t="s">
        <v>1843</v>
      </c>
      <c r="U955" s="245">
        <v>-20</v>
      </c>
      <c r="V955" s="245">
        <v>-17</v>
      </c>
      <c r="W955" s="245">
        <v>-16</v>
      </c>
      <c r="X955" s="245">
        <v>-12</v>
      </c>
      <c r="Y955" s="245">
        <v>-2</v>
      </c>
      <c r="Z955" s="245">
        <v>-33</v>
      </c>
      <c r="AA955" s="245">
        <v>11.1</v>
      </c>
      <c r="AB955" s="245">
        <v>0</v>
      </c>
      <c r="AC955" s="245" t="s">
        <v>830</v>
      </c>
      <c r="AD955" s="245">
        <v>115</v>
      </c>
      <c r="AE955" s="245">
        <v>4.4000000000000004</v>
      </c>
      <c r="AF955" s="245">
        <v>137</v>
      </c>
      <c r="AG955" s="245">
        <v>5.2</v>
      </c>
      <c r="AH955" s="245" t="s">
        <v>956</v>
      </c>
      <c r="AI955" s="245">
        <v>65</v>
      </c>
      <c r="AJ955" s="245">
        <v>239</v>
      </c>
      <c r="AK955" s="245" t="s">
        <v>971</v>
      </c>
      <c r="AL955" s="245">
        <v>3.1</v>
      </c>
      <c r="AM955" s="246" t="s">
        <v>931</v>
      </c>
      <c r="AN955" s="235">
        <v>564</v>
      </c>
      <c r="AO955" s="247" t="s">
        <v>1844</v>
      </c>
      <c r="AP955" s="247">
        <v>945</v>
      </c>
      <c r="AQ955" s="247">
        <v>38</v>
      </c>
      <c r="AR955" s="247">
        <v>32</v>
      </c>
      <c r="AS955" s="247">
        <v>36.5</v>
      </c>
      <c r="AT955" s="247">
        <v>46</v>
      </c>
      <c r="AU955" s="247">
        <v>17.899999999999999</v>
      </c>
      <c r="AV955" s="247">
        <v>26</v>
      </c>
      <c r="AW955" s="247">
        <v>14</v>
      </c>
      <c r="AX955" s="247">
        <v>67</v>
      </c>
      <c r="AY955" s="247">
        <v>71</v>
      </c>
      <c r="AZ955" s="247" t="s">
        <v>940</v>
      </c>
      <c r="BA955" s="248">
        <v>2.4</v>
      </c>
      <c r="BB955" s="235"/>
      <c r="BC955" s="247" t="s">
        <v>1843</v>
      </c>
      <c r="BD955" s="247"/>
      <c r="BE955" s="247"/>
      <c r="BF955" s="247"/>
      <c r="BG955" s="247"/>
      <c r="BH955" s="247"/>
      <c r="BI955" s="247"/>
      <c r="BJ955" s="247"/>
      <c r="BK955" s="247"/>
      <c r="BL955" s="247"/>
      <c r="BM955" s="247"/>
      <c r="BN955" s="247"/>
      <c r="BO955" s="247"/>
      <c r="BP955" s="248"/>
    </row>
    <row r="956" spans="1:68" ht="14.25" customHeight="1">
      <c r="A956" s="233">
        <v>299</v>
      </c>
      <c r="B956" s="234">
        <v>322</v>
      </c>
      <c r="C956" s="244" t="s">
        <v>928</v>
      </c>
      <c r="D956" s="244" t="s">
        <v>1845</v>
      </c>
      <c r="E956" s="244" t="s">
        <v>182</v>
      </c>
      <c r="F956" s="245">
        <v>-32.1</v>
      </c>
      <c r="G956" s="245">
        <v>-28</v>
      </c>
      <c r="H956" s="245">
        <v>-15.2</v>
      </c>
      <c r="I956" s="245">
        <v>2.2000000000000002</v>
      </c>
      <c r="J956" s="245">
        <v>11.4</v>
      </c>
      <c r="K956" s="245">
        <v>17.899999999999999</v>
      </c>
      <c r="L956" s="245">
        <v>19.8</v>
      </c>
      <c r="M956" s="245">
        <v>17</v>
      </c>
      <c r="N956" s="245">
        <v>10</v>
      </c>
      <c r="O956" s="245">
        <v>0</v>
      </c>
      <c r="P956" s="245">
        <v>-15.6</v>
      </c>
      <c r="Q956" s="245">
        <v>-28.4</v>
      </c>
      <c r="R956" s="246">
        <v>-3.4</v>
      </c>
      <c r="S956" s="233">
        <v>322</v>
      </c>
      <c r="T956" s="247" t="s">
        <v>1846</v>
      </c>
      <c r="U956" s="245">
        <v>-49</v>
      </c>
      <c r="V956" s="245">
        <v>-48</v>
      </c>
      <c r="W956" s="245">
        <v>-48</v>
      </c>
      <c r="X956" s="245">
        <v>-47</v>
      </c>
      <c r="Y956" s="245">
        <v>-37</v>
      </c>
      <c r="Z956" s="245">
        <v>-54</v>
      </c>
      <c r="AA956" s="245">
        <v>10.9</v>
      </c>
      <c r="AB956" s="245">
        <v>178</v>
      </c>
      <c r="AC956" s="245">
        <v>-20.100000000000001</v>
      </c>
      <c r="AD956" s="245">
        <v>225</v>
      </c>
      <c r="AE956" s="245">
        <v>-15</v>
      </c>
      <c r="AF956" s="245">
        <v>238</v>
      </c>
      <c r="AG956" s="245">
        <v>-13.7</v>
      </c>
      <c r="AH956" s="245">
        <v>73</v>
      </c>
      <c r="AI956" s="245">
        <v>69</v>
      </c>
      <c r="AJ956" s="245">
        <v>58</v>
      </c>
      <c r="AK956" s="245" t="s">
        <v>982</v>
      </c>
      <c r="AL956" s="245">
        <v>1.7</v>
      </c>
      <c r="AM956" s="246">
        <v>1.4</v>
      </c>
      <c r="AN956" s="235">
        <v>322</v>
      </c>
      <c r="AO956" s="247" t="s">
        <v>1847</v>
      </c>
      <c r="AP956" s="247">
        <v>935</v>
      </c>
      <c r="AQ956" s="247">
        <v>24.5</v>
      </c>
      <c r="AR956" s="247">
        <v>28.6</v>
      </c>
      <c r="AS956" s="247">
        <v>26.9</v>
      </c>
      <c r="AT956" s="247">
        <v>38</v>
      </c>
      <c r="AU956" s="247">
        <v>13.7</v>
      </c>
      <c r="AV956" s="247">
        <v>58</v>
      </c>
      <c r="AW956" s="247">
        <v>44</v>
      </c>
      <c r="AX956" s="247">
        <v>195</v>
      </c>
      <c r="AY956" s="247">
        <v>51</v>
      </c>
      <c r="AZ956" s="247" t="s">
        <v>1005</v>
      </c>
      <c r="BA956" s="248">
        <v>0</v>
      </c>
      <c r="BB956" s="235">
        <v>290</v>
      </c>
      <c r="BC956" s="247" t="s">
        <v>182</v>
      </c>
      <c r="BD956" s="247">
        <v>0.4</v>
      </c>
      <c r="BE956" s="247">
        <v>0.6</v>
      </c>
      <c r="BF956" s="247">
        <v>1.6</v>
      </c>
      <c r="BG956" s="247">
        <v>3.8</v>
      </c>
      <c r="BH956" s="247">
        <v>5.6</v>
      </c>
      <c r="BI956" s="247">
        <v>9.6999999999999993</v>
      </c>
      <c r="BJ956" s="247">
        <v>12.6</v>
      </c>
      <c r="BK956" s="247">
        <v>11.4</v>
      </c>
      <c r="BL956" s="247">
        <v>7.3</v>
      </c>
      <c r="BM956" s="247">
        <v>3.9</v>
      </c>
      <c r="BN956" s="247">
        <v>1.7</v>
      </c>
      <c r="BO956" s="247">
        <v>0.6</v>
      </c>
      <c r="BP956" s="248">
        <v>4.9000000000000004</v>
      </c>
    </row>
    <row r="957" spans="1:68" ht="14.25" customHeight="1">
      <c r="A957" s="233">
        <v>300</v>
      </c>
      <c r="B957" s="234">
        <v>237</v>
      </c>
      <c r="C957" s="244" t="s">
        <v>928</v>
      </c>
      <c r="D957" s="244" t="s">
        <v>1119</v>
      </c>
      <c r="E957" s="244" t="s">
        <v>1848</v>
      </c>
      <c r="F957" s="245">
        <v>-20.3</v>
      </c>
      <c r="G957" s="245">
        <v>-18.3</v>
      </c>
      <c r="H957" s="245">
        <v>-10.7</v>
      </c>
      <c r="I957" s="245">
        <v>1.3</v>
      </c>
      <c r="J957" s="245">
        <v>9.8000000000000007</v>
      </c>
      <c r="K957" s="245">
        <v>15.7</v>
      </c>
      <c r="L957" s="245">
        <v>18</v>
      </c>
      <c r="M957" s="245">
        <v>14.6</v>
      </c>
      <c r="N957" s="245">
        <v>9.3000000000000007</v>
      </c>
      <c r="O957" s="245">
        <v>0.8</v>
      </c>
      <c r="P957" s="245">
        <v>-9.8000000000000007</v>
      </c>
      <c r="Q957" s="245">
        <v>-17.399999999999999</v>
      </c>
      <c r="R957" s="246">
        <v>-0.6</v>
      </c>
      <c r="S957" s="233">
        <v>237</v>
      </c>
      <c r="T957" s="247" t="s">
        <v>1849</v>
      </c>
      <c r="U957" s="245">
        <v>-46</v>
      </c>
      <c r="V957" s="245">
        <v>-43</v>
      </c>
      <c r="W957" s="245">
        <v>-42</v>
      </c>
      <c r="X957" s="245">
        <v>-40</v>
      </c>
      <c r="Y957" s="245">
        <v>-25</v>
      </c>
      <c r="Z957" s="245">
        <v>-52</v>
      </c>
      <c r="AA957" s="245">
        <v>9.9</v>
      </c>
      <c r="AB957" s="245">
        <v>176</v>
      </c>
      <c r="AC957" s="245">
        <v>-12.9</v>
      </c>
      <c r="AD957" s="245">
        <v>231</v>
      </c>
      <c r="AE957" s="245">
        <v>-8.9</v>
      </c>
      <c r="AF957" s="245">
        <v>248</v>
      </c>
      <c r="AG957" s="245">
        <v>7.7</v>
      </c>
      <c r="AH957" s="245">
        <v>80</v>
      </c>
      <c r="AI957" s="245">
        <v>78</v>
      </c>
      <c r="AJ957" s="245">
        <v>87</v>
      </c>
      <c r="AK957" s="245" t="s">
        <v>971</v>
      </c>
      <c r="AL957" s="245" t="s">
        <v>931</v>
      </c>
      <c r="AM957" s="246" t="s">
        <v>931</v>
      </c>
      <c r="AN957" s="235">
        <v>237</v>
      </c>
      <c r="AO957" s="247" t="s">
        <v>1850</v>
      </c>
      <c r="AP957" s="247">
        <v>995</v>
      </c>
      <c r="AQ957" s="247">
        <v>21.9</v>
      </c>
      <c r="AR957" s="247">
        <v>26.1</v>
      </c>
      <c r="AS957" s="247">
        <v>24.3</v>
      </c>
      <c r="AT957" s="247">
        <v>39</v>
      </c>
      <c r="AU957" s="247">
        <v>12.3</v>
      </c>
      <c r="AV957" s="247">
        <v>75</v>
      </c>
      <c r="AW957" s="247">
        <v>59</v>
      </c>
      <c r="AX957" s="247">
        <v>350</v>
      </c>
      <c r="AY957" s="247" t="s">
        <v>965</v>
      </c>
      <c r="AZ957" s="247" t="s">
        <v>1005</v>
      </c>
      <c r="BA957" s="248" t="s">
        <v>934</v>
      </c>
      <c r="BB957" s="235">
        <v>209</v>
      </c>
      <c r="BC957" s="247" t="s">
        <v>1848</v>
      </c>
      <c r="BD957" s="247">
        <v>1.3</v>
      </c>
      <c r="BE957" s="247">
        <v>1.4</v>
      </c>
      <c r="BF957" s="247">
        <v>2.4</v>
      </c>
      <c r="BG957" s="247">
        <v>4.8</v>
      </c>
      <c r="BH957" s="247">
        <v>7.2</v>
      </c>
      <c r="BI957" s="247">
        <v>11.8</v>
      </c>
      <c r="BJ957" s="247">
        <v>15.1</v>
      </c>
      <c r="BK957" s="247">
        <v>13.1</v>
      </c>
      <c r="BL957" s="247">
        <v>9</v>
      </c>
      <c r="BM957" s="247">
        <v>5.3</v>
      </c>
      <c r="BN957" s="247">
        <v>2.9</v>
      </c>
      <c r="BO957" s="247">
        <v>1.7</v>
      </c>
      <c r="BP957" s="248">
        <v>6.3</v>
      </c>
    </row>
    <row r="958" spans="1:68" ht="14.25" customHeight="1">
      <c r="A958" s="233">
        <v>301</v>
      </c>
      <c r="B958" s="234">
        <v>420</v>
      </c>
      <c r="C958" s="244" t="s">
        <v>928</v>
      </c>
      <c r="D958" s="244" t="s">
        <v>969</v>
      </c>
      <c r="E958" s="244" t="s">
        <v>1851</v>
      </c>
      <c r="F958" s="245">
        <v>-38</v>
      </c>
      <c r="G958" s="245">
        <v>-34.9</v>
      </c>
      <c r="H958" s="245">
        <v>-26.3</v>
      </c>
      <c r="I958" s="245">
        <v>-15.7</v>
      </c>
      <c r="J958" s="245">
        <v>-3.5</v>
      </c>
      <c r="K958" s="245">
        <v>7.9</v>
      </c>
      <c r="L958" s="245">
        <v>12.4</v>
      </c>
      <c r="M958" s="245">
        <v>9.4</v>
      </c>
      <c r="N958" s="245">
        <v>2</v>
      </c>
      <c r="O958" s="245">
        <v>-11.2</v>
      </c>
      <c r="P958" s="245">
        <v>-29</v>
      </c>
      <c r="Q958" s="245">
        <v>-35</v>
      </c>
      <c r="R958" s="246">
        <v>-13.5</v>
      </c>
      <c r="S958" s="233">
        <v>420</v>
      </c>
      <c r="T958" s="247" t="s">
        <v>1852</v>
      </c>
      <c r="U958" s="245">
        <v>-58</v>
      </c>
      <c r="V958" s="245">
        <v>-56</v>
      </c>
      <c r="W958" s="245">
        <v>-56</v>
      </c>
      <c r="X958" s="245">
        <v>-54</v>
      </c>
      <c r="Y958" s="245">
        <v>-43</v>
      </c>
      <c r="Z958" s="245">
        <v>-60</v>
      </c>
      <c r="AA958" s="245">
        <v>8</v>
      </c>
      <c r="AB958" s="245">
        <v>247</v>
      </c>
      <c r="AC958" s="245">
        <v>-23.4</v>
      </c>
      <c r="AD958" s="245">
        <v>298</v>
      </c>
      <c r="AE958" s="245">
        <v>-18.7</v>
      </c>
      <c r="AF958" s="245">
        <v>324</v>
      </c>
      <c r="AG958" s="245">
        <v>-16.5</v>
      </c>
      <c r="AH958" s="245">
        <v>74</v>
      </c>
      <c r="AI958" s="245">
        <v>74</v>
      </c>
      <c r="AJ958" s="245">
        <v>90</v>
      </c>
      <c r="AK958" s="245" t="s">
        <v>971</v>
      </c>
      <c r="AL958" s="245">
        <v>7.7</v>
      </c>
      <c r="AM958" s="246">
        <v>3.9</v>
      </c>
      <c r="AN958" s="235">
        <v>420</v>
      </c>
      <c r="AO958" s="247" t="s">
        <v>1853</v>
      </c>
      <c r="AP958" s="247">
        <v>1005</v>
      </c>
      <c r="AQ958" s="247">
        <v>15.2</v>
      </c>
      <c r="AR958" s="247">
        <v>19.7</v>
      </c>
      <c r="AS958" s="247">
        <v>17.600000000000001</v>
      </c>
      <c r="AT958" s="247">
        <v>34</v>
      </c>
      <c r="AU958" s="247">
        <v>9.8000000000000007</v>
      </c>
      <c r="AV958" s="247">
        <v>68</v>
      </c>
      <c r="AW958" s="247">
        <v>59</v>
      </c>
      <c r="AX958" s="247">
        <v>337</v>
      </c>
      <c r="AY958" s="247">
        <v>42</v>
      </c>
      <c r="AZ958" s="247" t="s">
        <v>940</v>
      </c>
      <c r="BA958" s="248">
        <v>0</v>
      </c>
      <c r="BB958" s="235"/>
      <c r="BC958" s="247" t="s">
        <v>1852</v>
      </c>
      <c r="BD958" s="247"/>
      <c r="BE958" s="247"/>
      <c r="BF958" s="247"/>
      <c r="BG958" s="247"/>
      <c r="BH958" s="247"/>
      <c r="BI958" s="247"/>
      <c r="BJ958" s="247"/>
      <c r="BK958" s="247"/>
      <c r="BL958" s="247"/>
      <c r="BM958" s="247"/>
      <c r="BN958" s="247"/>
      <c r="BO958" s="247"/>
      <c r="BP958" s="248"/>
    </row>
    <row r="959" spans="1:68" ht="14.25" customHeight="1">
      <c r="A959" s="233">
        <v>302</v>
      </c>
      <c r="B959" s="234">
        <v>57</v>
      </c>
      <c r="C959" s="244" t="s">
        <v>928</v>
      </c>
      <c r="D959" s="244" t="s">
        <v>1089</v>
      </c>
      <c r="E959" s="244" t="s">
        <v>1854</v>
      </c>
      <c r="F959" s="245">
        <v>-21.9</v>
      </c>
      <c r="G959" s="245">
        <v>-18.2</v>
      </c>
      <c r="H959" s="245">
        <v>-8.6</v>
      </c>
      <c r="I959" s="245">
        <v>2</v>
      </c>
      <c r="J959" s="245">
        <v>9.5</v>
      </c>
      <c r="K959" s="245">
        <v>16.600000000000001</v>
      </c>
      <c r="L959" s="245">
        <v>18.899999999999999</v>
      </c>
      <c r="M959" s="245">
        <v>16.399999999999999</v>
      </c>
      <c r="N959" s="245">
        <v>9.1999999999999993</v>
      </c>
      <c r="O959" s="245">
        <v>0.6</v>
      </c>
      <c r="P959" s="245">
        <v>-10.5</v>
      </c>
      <c r="Q959" s="245">
        <v>-19.2</v>
      </c>
      <c r="R959" s="246">
        <v>-0.4</v>
      </c>
      <c r="S959" s="233">
        <v>57</v>
      </c>
      <c r="T959" s="247" t="s">
        <v>1855</v>
      </c>
      <c r="U959" s="245">
        <v>-44</v>
      </c>
      <c r="V959" s="245">
        <v>-37</v>
      </c>
      <c r="W959" s="245">
        <v>-41</v>
      </c>
      <c r="X959" s="245">
        <v>-35</v>
      </c>
      <c r="Y959" s="245">
        <v>-27</v>
      </c>
      <c r="Z959" s="245">
        <v>-46</v>
      </c>
      <c r="AA959" s="245">
        <v>10.4</v>
      </c>
      <c r="AB959" s="245">
        <v>174</v>
      </c>
      <c r="AC959" s="245">
        <v>-13.4</v>
      </c>
      <c r="AD959" s="245">
        <v>232</v>
      </c>
      <c r="AE959" s="245">
        <v>-9</v>
      </c>
      <c r="AF959" s="245">
        <v>248</v>
      </c>
      <c r="AG959" s="245">
        <v>-7.9</v>
      </c>
      <c r="AH959" s="245">
        <v>74</v>
      </c>
      <c r="AI959" s="245">
        <v>62</v>
      </c>
      <c r="AJ959" s="245">
        <v>28</v>
      </c>
      <c r="AK959" s="245" t="s">
        <v>963</v>
      </c>
      <c r="AL959" s="245">
        <v>4</v>
      </c>
      <c r="AM959" s="246">
        <v>1.6</v>
      </c>
      <c r="AN959" s="235">
        <v>57</v>
      </c>
      <c r="AO959" s="247" t="s">
        <v>1856</v>
      </c>
      <c r="AP959" s="247">
        <v>920</v>
      </c>
      <c r="AQ959" s="247">
        <v>22.4</v>
      </c>
      <c r="AR959" s="247">
        <v>26.6</v>
      </c>
      <c r="AS959" s="247">
        <v>24.8</v>
      </c>
      <c r="AT959" s="247">
        <v>39</v>
      </c>
      <c r="AU959" s="247">
        <v>11.9</v>
      </c>
      <c r="AV959" s="247">
        <v>64</v>
      </c>
      <c r="AW959" s="247">
        <v>52</v>
      </c>
      <c r="AX959" s="247">
        <v>317</v>
      </c>
      <c r="AY959" s="247">
        <v>76</v>
      </c>
      <c r="AZ959" s="247" t="s">
        <v>1005</v>
      </c>
      <c r="BA959" s="248">
        <v>0</v>
      </c>
      <c r="BB959" s="235">
        <v>43</v>
      </c>
      <c r="BC959" s="247" t="s">
        <v>1854</v>
      </c>
      <c r="BD959" s="247">
        <v>1</v>
      </c>
      <c r="BE959" s="247">
        <v>1.2</v>
      </c>
      <c r="BF959" s="247">
        <v>2.2999999999999998</v>
      </c>
      <c r="BG959" s="247">
        <v>3.4</v>
      </c>
      <c r="BH959" s="247">
        <v>5.3</v>
      </c>
      <c r="BI959" s="247">
        <v>9.9</v>
      </c>
      <c r="BJ959" s="247">
        <v>13.8</v>
      </c>
      <c r="BK959" s="247">
        <v>12.2</v>
      </c>
      <c r="BL959" s="247">
        <v>7.5</v>
      </c>
      <c r="BM959" s="247">
        <v>4.2</v>
      </c>
      <c r="BN959" s="247">
        <v>2</v>
      </c>
      <c r="BO959" s="247">
        <v>1.2</v>
      </c>
      <c r="BP959" s="248">
        <v>5.3</v>
      </c>
    </row>
    <row r="960" spans="1:68" ht="14.25" customHeight="1">
      <c r="A960" s="233">
        <v>303</v>
      </c>
      <c r="B960" s="234">
        <v>509</v>
      </c>
      <c r="C960" s="244" t="s">
        <v>960</v>
      </c>
      <c r="D960" s="244" t="s">
        <v>1523</v>
      </c>
      <c r="E960" s="244" t="s">
        <v>1857</v>
      </c>
      <c r="F960" s="245">
        <v>-12.5</v>
      </c>
      <c r="G960" s="245">
        <v>-12.1</v>
      </c>
      <c r="H960" s="245">
        <v>-6.3</v>
      </c>
      <c r="I960" s="245">
        <v>3</v>
      </c>
      <c r="J960" s="245">
        <v>10.4</v>
      </c>
      <c r="K960" s="245">
        <v>15.3</v>
      </c>
      <c r="L960" s="245">
        <v>17.100000000000001</v>
      </c>
      <c r="M960" s="245">
        <v>14.9</v>
      </c>
      <c r="N960" s="245">
        <v>9.9</v>
      </c>
      <c r="O960" s="245">
        <v>2.7</v>
      </c>
      <c r="P960" s="245">
        <v>-6.7</v>
      </c>
      <c r="Q960" s="245">
        <v>-11.2</v>
      </c>
      <c r="R960" s="246">
        <v>2</v>
      </c>
      <c r="S960" s="233">
        <v>509</v>
      </c>
      <c r="T960" s="247" t="s">
        <v>1857</v>
      </c>
      <c r="U960" s="245">
        <v>-45</v>
      </c>
      <c r="V960" s="245">
        <v>-39</v>
      </c>
      <c r="W960" s="245">
        <v>-42</v>
      </c>
      <c r="X960" s="245">
        <v>-36</v>
      </c>
      <c r="Y960" s="245" t="s">
        <v>956</v>
      </c>
      <c r="Z960" s="245" t="s">
        <v>931</v>
      </c>
      <c r="AA960" s="245">
        <v>11.4</v>
      </c>
      <c r="AB960" s="245">
        <v>164</v>
      </c>
      <c r="AC960" s="245">
        <v>-9</v>
      </c>
      <c r="AD960" s="245">
        <v>223</v>
      </c>
      <c r="AE960" s="245">
        <v>-5.5</v>
      </c>
      <c r="AF960" s="245">
        <v>240</v>
      </c>
      <c r="AG960" s="245">
        <v>-4.4000000000000004</v>
      </c>
      <c r="AH960" s="245">
        <v>67</v>
      </c>
      <c r="AI960" s="245" t="s">
        <v>956</v>
      </c>
      <c r="AJ960" s="245">
        <v>126</v>
      </c>
      <c r="AK960" s="245" t="s">
        <v>982</v>
      </c>
      <c r="AL960" s="245">
        <v>6.6</v>
      </c>
      <c r="AM960" s="246">
        <v>2.7</v>
      </c>
      <c r="AN960" s="235">
        <v>509</v>
      </c>
      <c r="AO960" s="247" t="s">
        <v>1858</v>
      </c>
      <c r="AP960" s="247" t="s">
        <v>965</v>
      </c>
      <c r="AQ960" s="247" t="s">
        <v>958</v>
      </c>
      <c r="AR960" s="247" t="s">
        <v>931</v>
      </c>
      <c r="AS960" s="247">
        <v>23.9</v>
      </c>
      <c r="AT960" s="247">
        <v>37</v>
      </c>
      <c r="AU960" s="247">
        <v>14</v>
      </c>
      <c r="AV960" s="247">
        <v>69</v>
      </c>
      <c r="AW960" s="247" t="s">
        <v>931</v>
      </c>
      <c r="AX960" s="247">
        <v>549</v>
      </c>
      <c r="AY960" s="247" t="s">
        <v>965</v>
      </c>
      <c r="AZ960" s="247" t="s">
        <v>1038</v>
      </c>
      <c r="BA960" s="248">
        <v>1.6</v>
      </c>
      <c r="BB960" s="235"/>
      <c r="BC960" s="247" t="s">
        <v>1857</v>
      </c>
      <c r="BD960" s="247"/>
      <c r="BE960" s="247"/>
      <c r="BF960" s="247"/>
      <c r="BG960" s="247"/>
      <c r="BH960" s="247"/>
      <c r="BI960" s="247"/>
      <c r="BJ960" s="247"/>
      <c r="BK960" s="247"/>
      <c r="BL960" s="247"/>
      <c r="BM960" s="247"/>
      <c r="BN960" s="247"/>
      <c r="BO960" s="247"/>
      <c r="BP960" s="248"/>
    </row>
    <row r="961" spans="1:68" ht="14.25" customHeight="1">
      <c r="A961" s="233">
        <v>304</v>
      </c>
      <c r="B961" s="234">
        <v>421</v>
      </c>
      <c r="C961" s="244" t="s">
        <v>928</v>
      </c>
      <c r="D961" s="244" t="s">
        <v>969</v>
      </c>
      <c r="E961" s="244" t="s">
        <v>1859</v>
      </c>
      <c r="F961" s="245">
        <v>-29.8</v>
      </c>
      <c r="G961" s="245">
        <v>-27.6</v>
      </c>
      <c r="H961" s="245">
        <v>-16.5</v>
      </c>
      <c r="I961" s="245">
        <v>-4.2</v>
      </c>
      <c r="J961" s="245">
        <v>5.5</v>
      </c>
      <c r="K961" s="245">
        <v>14.2</v>
      </c>
      <c r="L961" s="245">
        <v>17.600000000000001</v>
      </c>
      <c r="M961" s="245">
        <v>13.8</v>
      </c>
      <c r="N961" s="245">
        <v>5.9</v>
      </c>
      <c r="O961" s="245">
        <v>-4.5</v>
      </c>
      <c r="P961" s="245">
        <v>-20.399999999999999</v>
      </c>
      <c r="Q961" s="245">
        <v>-28.9</v>
      </c>
      <c r="R961" s="246">
        <v>-6.2</v>
      </c>
      <c r="S961" s="233">
        <v>421</v>
      </c>
      <c r="T961" s="247" t="s">
        <v>1859</v>
      </c>
      <c r="U961" s="245">
        <v>-55</v>
      </c>
      <c r="V961" s="245">
        <v>-53</v>
      </c>
      <c r="W961" s="245">
        <v>-52</v>
      </c>
      <c r="X961" s="245">
        <v>-49</v>
      </c>
      <c r="Y961" s="245">
        <v>-35</v>
      </c>
      <c r="Z961" s="245">
        <v>-57</v>
      </c>
      <c r="AA961" s="245">
        <v>10</v>
      </c>
      <c r="AB961" s="245">
        <v>208</v>
      </c>
      <c r="AC961" s="245">
        <v>-18.8</v>
      </c>
      <c r="AD961" s="245">
        <v>259</v>
      </c>
      <c r="AE961" s="245">
        <v>-14.2</v>
      </c>
      <c r="AF961" s="245">
        <v>274</v>
      </c>
      <c r="AG961" s="245">
        <v>-13</v>
      </c>
      <c r="AH961" s="245">
        <v>75</v>
      </c>
      <c r="AI961" s="245">
        <v>75</v>
      </c>
      <c r="AJ961" s="245">
        <v>103</v>
      </c>
      <c r="AK961" s="245" t="s">
        <v>950</v>
      </c>
      <c r="AL961" s="245" t="s">
        <v>931</v>
      </c>
      <c r="AM961" s="246">
        <v>2.8</v>
      </c>
      <c r="AN961" s="235">
        <v>421</v>
      </c>
      <c r="AO961" s="247" t="s">
        <v>1860</v>
      </c>
      <c r="AP961" s="247">
        <v>980</v>
      </c>
      <c r="AQ961" s="247">
        <v>22.3</v>
      </c>
      <c r="AR961" s="247">
        <v>26.5</v>
      </c>
      <c r="AS961" s="247">
        <v>24.7</v>
      </c>
      <c r="AT961" s="247">
        <v>36</v>
      </c>
      <c r="AU961" s="247">
        <v>14.2</v>
      </c>
      <c r="AV961" s="247">
        <v>68</v>
      </c>
      <c r="AW961" s="247">
        <v>53</v>
      </c>
      <c r="AX961" s="247">
        <v>283</v>
      </c>
      <c r="AY961" s="247">
        <v>106</v>
      </c>
      <c r="AZ961" s="247" t="s">
        <v>952</v>
      </c>
      <c r="BA961" s="248" t="s">
        <v>934</v>
      </c>
      <c r="BB961" s="235">
        <v>384</v>
      </c>
      <c r="BC961" s="247" t="s">
        <v>1859</v>
      </c>
      <c r="BD961" s="247">
        <v>0.6</v>
      </c>
      <c r="BE961" s="247">
        <v>0.7</v>
      </c>
      <c r="BF961" s="247">
        <v>1.4</v>
      </c>
      <c r="BG961" s="247">
        <v>2.7</v>
      </c>
      <c r="BH961" s="247">
        <v>5</v>
      </c>
      <c r="BI961" s="247">
        <v>9.6999999999999993</v>
      </c>
      <c r="BJ961" s="247">
        <v>13.3</v>
      </c>
      <c r="BK961" s="247">
        <v>11.6</v>
      </c>
      <c r="BL961" s="247">
        <v>7.1</v>
      </c>
      <c r="BM961" s="247">
        <v>3.7</v>
      </c>
      <c r="BN961" s="247">
        <v>1.3</v>
      </c>
      <c r="BO961" s="247">
        <v>0.7</v>
      </c>
      <c r="BP961" s="248">
        <v>4.8</v>
      </c>
    </row>
    <row r="962" spans="1:68" ht="14.25" customHeight="1">
      <c r="A962" s="233">
        <v>305</v>
      </c>
      <c r="B962" s="234">
        <v>327</v>
      </c>
      <c r="C962" s="244" t="s">
        <v>928</v>
      </c>
      <c r="D962" s="244" t="s">
        <v>1161</v>
      </c>
      <c r="E962" s="244" t="s">
        <v>1861</v>
      </c>
      <c r="F962" s="245">
        <v>-18.100000000000001</v>
      </c>
      <c r="G962" s="245">
        <v>-16.2</v>
      </c>
      <c r="H962" s="245">
        <v>-8.5</v>
      </c>
      <c r="I962" s="245">
        <v>1.6</v>
      </c>
      <c r="J962" s="245">
        <v>8.4</v>
      </c>
      <c r="K962" s="245">
        <v>14.9</v>
      </c>
      <c r="L962" s="245">
        <v>17.8</v>
      </c>
      <c r="M962" s="245">
        <v>14.9</v>
      </c>
      <c r="N962" s="245">
        <v>8.9</v>
      </c>
      <c r="O962" s="245">
        <v>0.3</v>
      </c>
      <c r="P962" s="245">
        <v>-8.8000000000000007</v>
      </c>
      <c r="Q962" s="245">
        <v>-15.9</v>
      </c>
      <c r="R962" s="246">
        <v>-0.1</v>
      </c>
      <c r="S962" s="233">
        <v>327</v>
      </c>
      <c r="T962" s="247" t="s">
        <v>1862</v>
      </c>
      <c r="U962" s="245">
        <v>-46</v>
      </c>
      <c r="V962" s="245">
        <v>-43</v>
      </c>
      <c r="W962" s="245">
        <v>-44</v>
      </c>
      <c r="X962" s="245">
        <v>-39</v>
      </c>
      <c r="Y962" s="245">
        <v>-23</v>
      </c>
      <c r="Z962" s="245">
        <v>-48</v>
      </c>
      <c r="AA962" s="245">
        <v>7.7</v>
      </c>
      <c r="AB962" s="245">
        <v>176</v>
      </c>
      <c r="AC962" s="245">
        <v>-11.4</v>
      </c>
      <c r="AD962" s="245">
        <v>238</v>
      </c>
      <c r="AE962" s="245">
        <v>-7.4</v>
      </c>
      <c r="AF962" s="245">
        <v>256</v>
      </c>
      <c r="AG962" s="245">
        <v>-6.2</v>
      </c>
      <c r="AH962" s="245">
        <v>81</v>
      </c>
      <c r="AI962" s="245">
        <v>80</v>
      </c>
      <c r="AJ962" s="245">
        <v>100</v>
      </c>
      <c r="AK962" s="245" t="s">
        <v>971</v>
      </c>
      <c r="AL962" s="245" t="s">
        <v>931</v>
      </c>
      <c r="AM962" s="246">
        <v>4.5999999999999996</v>
      </c>
      <c r="AN962" s="235">
        <v>327</v>
      </c>
      <c r="AO962" s="247" t="s">
        <v>1863</v>
      </c>
      <c r="AP962" s="247">
        <v>1000</v>
      </c>
      <c r="AQ962" s="247">
        <v>20.8</v>
      </c>
      <c r="AR962" s="247">
        <v>25.4</v>
      </c>
      <c r="AS962" s="247">
        <v>22.8</v>
      </c>
      <c r="AT962" s="247">
        <v>35</v>
      </c>
      <c r="AU962" s="247">
        <v>9.8000000000000007</v>
      </c>
      <c r="AV962" s="247">
        <v>70</v>
      </c>
      <c r="AW962" s="247">
        <v>58</v>
      </c>
      <c r="AX962" s="247">
        <v>389</v>
      </c>
      <c r="AY962" s="247" t="s">
        <v>965</v>
      </c>
      <c r="AZ962" s="247" t="s">
        <v>978</v>
      </c>
      <c r="BA962" s="248" t="s">
        <v>934</v>
      </c>
      <c r="BB962" s="235">
        <v>295</v>
      </c>
      <c r="BC962" s="247" t="s">
        <v>1861</v>
      </c>
      <c r="BD962" s="247">
        <v>1.5</v>
      </c>
      <c r="BE962" s="247">
        <v>1.6</v>
      </c>
      <c r="BF962" s="247">
        <v>2.6</v>
      </c>
      <c r="BG962" s="247">
        <v>4.7</v>
      </c>
      <c r="BH962" s="247">
        <v>6.9</v>
      </c>
      <c r="BI962" s="247">
        <v>10.9</v>
      </c>
      <c r="BJ962" s="247">
        <v>14.2</v>
      </c>
      <c r="BK962" s="247">
        <v>12.8</v>
      </c>
      <c r="BL962" s="247">
        <v>9</v>
      </c>
      <c r="BM962" s="247">
        <v>5.0999999999999996</v>
      </c>
      <c r="BN962" s="247">
        <v>3</v>
      </c>
      <c r="BO962" s="247">
        <v>1.9</v>
      </c>
      <c r="BP962" s="248">
        <v>6.2</v>
      </c>
    </row>
    <row r="963" spans="1:68" ht="14.25" customHeight="1">
      <c r="A963" s="233">
        <v>306</v>
      </c>
      <c r="B963" s="234">
        <v>197</v>
      </c>
      <c r="C963" s="244" t="s">
        <v>928</v>
      </c>
      <c r="D963" s="244" t="s">
        <v>1864</v>
      </c>
      <c r="E963" s="244" t="s">
        <v>185</v>
      </c>
      <c r="F963" s="245">
        <v>-10.3</v>
      </c>
      <c r="G963" s="245">
        <v>-9.5</v>
      </c>
      <c r="H963" s="245">
        <v>-4.4000000000000004</v>
      </c>
      <c r="I963" s="245">
        <v>5.5</v>
      </c>
      <c r="J963" s="245">
        <v>13.8</v>
      </c>
      <c r="K963" s="245">
        <v>18</v>
      </c>
      <c r="L963" s="245">
        <v>20.2</v>
      </c>
      <c r="M963" s="245">
        <v>18.5</v>
      </c>
      <c r="N963" s="245">
        <v>12.5</v>
      </c>
      <c r="O963" s="245">
        <v>5.5</v>
      </c>
      <c r="P963" s="245">
        <v>-1.5</v>
      </c>
      <c r="Q963" s="245">
        <v>-7.1</v>
      </c>
      <c r="R963" s="246">
        <v>5.0999999999999996</v>
      </c>
      <c r="S963" s="233">
        <v>197</v>
      </c>
      <c r="T963" s="247" t="s">
        <v>1865</v>
      </c>
      <c r="U963" s="245">
        <v>-34</v>
      </c>
      <c r="V963" s="245">
        <v>-31</v>
      </c>
      <c r="W963" s="245">
        <v>-29</v>
      </c>
      <c r="X963" s="245">
        <v>-27</v>
      </c>
      <c r="Y963" s="245">
        <v>-15</v>
      </c>
      <c r="Z963" s="245">
        <v>-38</v>
      </c>
      <c r="AA963" s="245">
        <v>6.8</v>
      </c>
      <c r="AB963" s="245">
        <v>141</v>
      </c>
      <c r="AC963" s="245">
        <v>-6.6</v>
      </c>
      <c r="AD963" s="245">
        <v>202</v>
      </c>
      <c r="AE963" s="245">
        <v>-3.4</v>
      </c>
      <c r="AF963" s="245">
        <v>218</v>
      </c>
      <c r="AG963" s="245">
        <v>-2.5</v>
      </c>
      <c r="AH963" s="245">
        <v>85</v>
      </c>
      <c r="AI963" s="245">
        <v>84</v>
      </c>
      <c r="AJ963" s="245">
        <v>248</v>
      </c>
      <c r="AK963" s="245" t="s">
        <v>971</v>
      </c>
      <c r="AL963" s="245">
        <v>5.9</v>
      </c>
      <c r="AM963" s="246">
        <v>4.8</v>
      </c>
      <c r="AN963" s="235">
        <v>197</v>
      </c>
      <c r="AO963" s="247" t="s">
        <v>1866</v>
      </c>
      <c r="AP963" s="247">
        <v>995</v>
      </c>
      <c r="AQ963" s="247">
        <v>23.5</v>
      </c>
      <c r="AR963" s="247">
        <v>27.5</v>
      </c>
      <c r="AS963" s="247">
        <v>25.9</v>
      </c>
      <c r="AT963" s="247">
        <v>39</v>
      </c>
      <c r="AU963" s="247">
        <v>11.6</v>
      </c>
      <c r="AV963" s="247">
        <v>66</v>
      </c>
      <c r="AW963" s="247">
        <v>51</v>
      </c>
      <c r="AX963" s="247">
        <v>382</v>
      </c>
      <c r="AY963" s="247">
        <v>69</v>
      </c>
      <c r="AZ963" s="247" t="s">
        <v>959</v>
      </c>
      <c r="BA963" s="248">
        <v>4.0999999999999996</v>
      </c>
      <c r="BB963" s="235"/>
      <c r="BC963" s="247" t="s">
        <v>185</v>
      </c>
      <c r="BD963" s="247"/>
      <c r="BE963" s="247"/>
      <c r="BF963" s="247"/>
      <c r="BG963" s="247"/>
      <c r="BH963" s="247"/>
      <c r="BI963" s="247"/>
      <c r="BJ963" s="247"/>
      <c r="BK963" s="247"/>
      <c r="BL963" s="247"/>
      <c r="BM963" s="247"/>
      <c r="BN963" s="247"/>
      <c r="BO963" s="247"/>
      <c r="BP963" s="248"/>
    </row>
    <row r="964" spans="1:68" ht="14.25" customHeight="1">
      <c r="A964" s="233">
        <v>307</v>
      </c>
      <c r="B964" s="234">
        <v>217</v>
      </c>
      <c r="C964" s="244" t="s">
        <v>928</v>
      </c>
      <c r="D964" s="244" t="s">
        <v>1246</v>
      </c>
      <c r="E964" s="244" t="s">
        <v>1867</v>
      </c>
      <c r="F964" s="245">
        <v>-13.2</v>
      </c>
      <c r="G964" s="245">
        <v>-13.8</v>
      </c>
      <c r="H964" s="245">
        <v>-10.199999999999999</v>
      </c>
      <c r="I964" s="245">
        <v>-3.8</v>
      </c>
      <c r="J964" s="245">
        <v>2.4</v>
      </c>
      <c r="K964" s="245">
        <v>9.1</v>
      </c>
      <c r="L964" s="245">
        <v>13</v>
      </c>
      <c r="M964" s="245">
        <v>11.1</v>
      </c>
      <c r="N964" s="245">
        <v>5.6</v>
      </c>
      <c r="O964" s="245">
        <v>-0.9</v>
      </c>
      <c r="P964" s="245">
        <v>-6.2</v>
      </c>
      <c r="Q964" s="245">
        <v>-10.4</v>
      </c>
      <c r="R964" s="246">
        <v>-1.4</v>
      </c>
      <c r="S964" s="233">
        <v>217</v>
      </c>
      <c r="T964" s="247" t="s">
        <v>1868</v>
      </c>
      <c r="U964" s="245">
        <v>-40</v>
      </c>
      <c r="V964" s="245">
        <v>-38</v>
      </c>
      <c r="W964" s="245">
        <v>-33</v>
      </c>
      <c r="X964" s="245">
        <v>-31</v>
      </c>
      <c r="Y964" s="245">
        <v>-19</v>
      </c>
      <c r="Z964" s="245">
        <v>-47</v>
      </c>
      <c r="AA964" s="245">
        <v>10.3</v>
      </c>
      <c r="AB964" s="245">
        <v>204</v>
      </c>
      <c r="AC964" s="245">
        <v>-8.5</v>
      </c>
      <c r="AD964" s="245">
        <v>281</v>
      </c>
      <c r="AE964" s="245">
        <v>-5</v>
      </c>
      <c r="AF964" s="245">
        <v>304</v>
      </c>
      <c r="AG964" s="245">
        <v>-4</v>
      </c>
      <c r="AH964" s="245">
        <v>85</v>
      </c>
      <c r="AI964" s="245">
        <v>85</v>
      </c>
      <c r="AJ964" s="245">
        <v>114</v>
      </c>
      <c r="AK964" s="245" t="s">
        <v>950</v>
      </c>
      <c r="AL964" s="245">
        <v>3.9</v>
      </c>
      <c r="AM964" s="246">
        <v>3.3</v>
      </c>
      <c r="AN964" s="235">
        <v>217</v>
      </c>
      <c r="AO964" s="247" t="s">
        <v>1869</v>
      </c>
      <c r="AP964" s="247">
        <v>990</v>
      </c>
      <c r="AQ964" s="247">
        <v>15.8</v>
      </c>
      <c r="AR964" s="247">
        <v>20.3</v>
      </c>
      <c r="AS964" s="247">
        <v>18.2</v>
      </c>
      <c r="AT964" s="247">
        <v>34</v>
      </c>
      <c r="AU964" s="247">
        <v>10.4</v>
      </c>
      <c r="AV964" s="247">
        <v>72</v>
      </c>
      <c r="AW964" s="247">
        <v>59</v>
      </c>
      <c r="AX964" s="247">
        <v>335</v>
      </c>
      <c r="AY964" s="247">
        <v>51</v>
      </c>
      <c r="AZ964" s="247" t="s">
        <v>946</v>
      </c>
      <c r="BA964" s="248">
        <v>0</v>
      </c>
      <c r="BB964" s="235">
        <v>192</v>
      </c>
      <c r="BC964" s="247" t="s">
        <v>1867</v>
      </c>
      <c r="BD964" s="247">
        <v>2.2000000000000002</v>
      </c>
      <c r="BE964" s="247">
        <v>2.1</v>
      </c>
      <c r="BF964" s="247">
        <v>2.6</v>
      </c>
      <c r="BG964" s="247">
        <v>3.8</v>
      </c>
      <c r="BH964" s="247">
        <v>5.4</v>
      </c>
      <c r="BI964" s="247">
        <v>8.1</v>
      </c>
      <c r="BJ964" s="247">
        <v>10.7</v>
      </c>
      <c r="BK964" s="247">
        <v>10.5</v>
      </c>
      <c r="BL964" s="247">
        <v>8</v>
      </c>
      <c r="BM964" s="247">
        <v>5.3</v>
      </c>
      <c r="BN964" s="247">
        <v>3.7</v>
      </c>
      <c r="BO964" s="247">
        <v>2.7</v>
      </c>
      <c r="BP964" s="248">
        <v>5.4</v>
      </c>
    </row>
    <row r="965" spans="1:68" ht="14.25" customHeight="1">
      <c r="A965" s="233">
        <v>308</v>
      </c>
      <c r="B965" s="234">
        <v>639</v>
      </c>
      <c r="C965" s="244" t="s">
        <v>953</v>
      </c>
      <c r="D965" s="244" t="s">
        <v>1870</v>
      </c>
      <c r="E965" s="244" t="s">
        <v>1871</v>
      </c>
      <c r="F965" s="245">
        <v>-6.5</v>
      </c>
      <c r="G965" s="245">
        <v>-5.2</v>
      </c>
      <c r="H965" s="245">
        <v>0</v>
      </c>
      <c r="I965" s="245">
        <v>9.1</v>
      </c>
      <c r="J965" s="245">
        <v>15.7</v>
      </c>
      <c r="K965" s="245">
        <v>19.2</v>
      </c>
      <c r="L965" s="245">
        <v>20.8</v>
      </c>
      <c r="M965" s="245">
        <v>19.899999999999999</v>
      </c>
      <c r="N965" s="245">
        <v>14.6</v>
      </c>
      <c r="O965" s="245">
        <v>7.6</v>
      </c>
      <c r="P965" s="245">
        <v>1.7</v>
      </c>
      <c r="Q965" s="245">
        <v>-2.9</v>
      </c>
      <c r="R965" s="246">
        <v>7.8</v>
      </c>
      <c r="S965" s="233">
        <v>628</v>
      </c>
      <c r="T965" s="247" t="s">
        <v>1871</v>
      </c>
      <c r="U965" s="245">
        <v>-30</v>
      </c>
      <c r="V965" s="245">
        <v>-27</v>
      </c>
      <c r="W965" s="245">
        <v>-26</v>
      </c>
      <c r="X965" s="245">
        <v>-22</v>
      </c>
      <c r="Y965" s="245">
        <v>-10</v>
      </c>
      <c r="Z965" s="245">
        <v>-35</v>
      </c>
      <c r="AA965" s="245" t="s">
        <v>956</v>
      </c>
      <c r="AB965" s="245">
        <v>108</v>
      </c>
      <c r="AC965" s="245">
        <v>-4.3</v>
      </c>
      <c r="AD965" s="245">
        <v>176</v>
      </c>
      <c r="AE965" s="245">
        <v>-1.3</v>
      </c>
      <c r="AF965" s="245">
        <v>192</v>
      </c>
      <c r="AG965" s="245">
        <v>-0.4</v>
      </c>
      <c r="AH965" s="245" t="s">
        <v>956</v>
      </c>
      <c r="AI965" s="245" t="s">
        <v>956</v>
      </c>
      <c r="AJ965" s="245">
        <v>230</v>
      </c>
      <c r="AK965" s="245" t="s">
        <v>982</v>
      </c>
      <c r="AL965" s="245" t="s">
        <v>931</v>
      </c>
      <c r="AM965" s="246" t="s">
        <v>931</v>
      </c>
      <c r="AN965" s="235">
        <v>629</v>
      </c>
      <c r="AO965" s="247" t="s">
        <v>1872</v>
      </c>
      <c r="AP965" s="247">
        <v>995</v>
      </c>
      <c r="AQ965" s="247">
        <v>30</v>
      </c>
      <c r="AR965" s="247">
        <v>26</v>
      </c>
      <c r="AS965" s="247">
        <v>26.8</v>
      </c>
      <c r="AT965" s="247">
        <v>38</v>
      </c>
      <c r="AU965" s="247" t="s">
        <v>934</v>
      </c>
      <c r="AV965" s="247" t="s">
        <v>958</v>
      </c>
      <c r="AW965" s="247" t="s">
        <v>931</v>
      </c>
      <c r="AX965" s="247" t="s">
        <v>931</v>
      </c>
      <c r="AY965" s="247">
        <v>75</v>
      </c>
      <c r="AZ965" s="247" t="s">
        <v>940</v>
      </c>
      <c r="BA965" s="248">
        <v>0.7</v>
      </c>
      <c r="BB965" s="235"/>
      <c r="BC965" s="247" t="s">
        <v>1871</v>
      </c>
      <c r="BD965" s="247"/>
      <c r="BE965" s="247"/>
      <c r="BF965" s="247"/>
      <c r="BG965" s="247"/>
      <c r="BH965" s="247"/>
      <c r="BI965" s="247"/>
      <c r="BJ965" s="247"/>
      <c r="BK965" s="247"/>
      <c r="BL965" s="247"/>
      <c r="BM965" s="247"/>
      <c r="BN965" s="247"/>
      <c r="BO965" s="247"/>
      <c r="BP965" s="248"/>
    </row>
    <row r="966" spans="1:68" ht="14.25" customHeight="1">
      <c r="A966" s="233">
        <v>309</v>
      </c>
      <c r="B966" s="234">
        <v>117</v>
      </c>
      <c r="C966" s="244" t="s">
        <v>928</v>
      </c>
      <c r="D966" s="244" t="s">
        <v>1023</v>
      </c>
      <c r="E966" s="244" t="s">
        <v>1873</v>
      </c>
      <c r="F966" s="245">
        <v>-5.0999999999999996</v>
      </c>
      <c r="G966" s="245">
        <v>-5.9</v>
      </c>
      <c r="H966" s="245">
        <v>-4.4000000000000004</v>
      </c>
      <c r="I966" s="245">
        <v>-1.5</v>
      </c>
      <c r="J966" s="245">
        <v>1.1000000000000001</v>
      </c>
      <c r="K966" s="245">
        <v>4.0999999999999996</v>
      </c>
      <c r="L966" s="245">
        <v>7.5</v>
      </c>
      <c r="M966" s="245">
        <v>9.4</v>
      </c>
      <c r="N966" s="245">
        <v>8.6999999999999993</v>
      </c>
      <c r="O966" s="245">
        <v>5.2</v>
      </c>
      <c r="P966" s="245">
        <v>0.3</v>
      </c>
      <c r="Q966" s="245">
        <v>-3.1</v>
      </c>
      <c r="R966" s="246">
        <v>1.3</v>
      </c>
      <c r="S966" s="233">
        <v>117</v>
      </c>
      <c r="T966" s="247" t="s">
        <v>1874</v>
      </c>
      <c r="U966" s="245">
        <v>-18</v>
      </c>
      <c r="V966" s="245">
        <v>-15</v>
      </c>
      <c r="W966" s="245">
        <v>-15</v>
      </c>
      <c r="X966" s="245">
        <v>-13</v>
      </c>
      <c r="Y966" s="245">
        <v>-10</v>
      </c>
      <c r="Z966" s="245">
        <v>-21</v>
      </c>
      <c r="AA966" s="245">
        <v>3.7</v>
      </c>
      <c r="AB966" s="245">
        <v>166</v>
      </c>
      <c r="AC966" s="245">
        <v>-3.5</v>
      </c>
      <c r="AD966" s="245">
        <v>306</v>
      </c>
      <c r="AE966" s="245">
        <v>0</v>
      </c>
      <c r="AF966" s="245">
        <v>365</v>
      </c>
      <c r="AG966" s="245">
        <v>1.3</v>
      </c>
      <c r="AH966" s="245">
        <v>84</v>
      </c>
      <c r="AI966" s="245">
        <v>83</v>
      </c>
      <c r="AJ966" s="245" t="s">
        <v>1018</v>
      </c>
      <c r="AK966" s="245" t="s">
        <v>944</v>
      </c>
      <c r="AL966" s="245" t="s">
        <v>931</v>
      </c>
      <c r="AM966" s="246">
        <v>10.1</v>
      </c>
      <c r="AN966" s="235">
        <v>117</v>
      </c>
      <c r="AO966" s="247" t="s">
        <v>1875</v>
      </c>
      <c r="AP966" s="247">
        <v>1005</v>
      </c>
      <c r="AQ966" s="247">
        <v>9</v>
      </c>
      <c r="AR966" s="247">
        <v>13.8</v>
      </c>
      <c r="AS966" s="247">
        <v>11.4</v>
      </c>
      <c r="AT966" s="247">
        <v>20</v>
      </c>
      <c r="AU966" s="247">
        <v>3.5</v>
      </c>
      <c r="AV966" s="247">
        <v>97</v>
      </c>
      <c r="AW966" s="247">
        <v>95</v>
      </c>
      <c r="AX966" s="247">
        <v>629</v>
      </c>
      <c r="AY966" s="247">
        <v>72</v>
      </c>
      <c r="AZ966" s="247" t="s">
        <v>959</v>
      </c>
      <c r="BA966" s="248" t="s">
        <v>934</v>
      </c>
      <c r="BB966" s="235">
        <v>101</v>
      </c>
      <c r="BC966" s="247" t="s">
        <v>1873</v>
      </c>
      <c r="BD966" s="247">
        <v>3.7</v>
      </c>
      <c r="BE966" s="247">
        <v>3.5</v>
      </c>
      <c r="BF966" s="247">
        <v>3.9</v>
      </c>
      <c r="BG966" s="247">
        <v>4.9000000000000004</v>
      </c>
      <c r="BH966" s="247">
        <v>6.2</v>
      </c>
      <c r="BI966" s="247">
        <v>7.8</v>
      </c>
      <c r="BJ966" s="247">
        <v>10</v>
      </c>
      <c r="BK966" s="247">
        <v>11.4</v>
      </c>
      <c r="BL966" s="247">
        <v>10.5</v>
      </c>
      <c r="BM966" s="247">
        <v>7.8</v>
      </c>
      <c r="BN966" s="247">
        <v>5.3</v>
      </c>
      <c r="BO966" s="247">
        <v>4.2</v>
      </c>
      <c r="BP966" s="248">
        <v>6</v>
      </c>
    </row>
    <row r="967" spans="1:68" ht="14.25" customHeight="1">
      <c r="A967" s="233">
        <v>310</v>
      </c>
      <c r="B967" s="234">
        <v>133</v>
      </c>
      <c r="C967" s="244" t="s">
        <v>928</v>
      </c>
      <c r="D967" s="244" t="s">
        <v>1680</v>
      </c>
      <c r="E967" s="244" t="s">
        <v>1876</v>
      </c>
      <c r="F967" s="245">
        <v>-12.1</v>
      </c>
      <c r="G967" s="245">
        <v>-12.4</v>
      </c>
      <c r="H967" s="245">
        <v>-8.3000000000000007</v>
      </c>
      <c r="I967" s="245">
        <v>-1.7</v>
      </c>
      <c r="J967" s="245">
        <v>4.7</v>
      </c>
      <c r="K967" s="245">
        <v>11.6</v>
      </c>
      <c r="L967" s="245">
        <v>14.8</v>
      </c>
      <c r="M967" s="245">
        <v>12.8</v>
      </c>
      <c r="N967" s="245">
        <v>7.2</v>
      </c>
      <c r="O967" s="245">
        <v>1</v>
      </c>
      <c r="P967" s="245">
        <v>-4.4000000000000004</v>
      </c>
      <c r="Q967" s="245">
        <v>-8.5</v>
      </c>
      <c r="R967" s="246">
        <v>0.4</v>
      </c>
      <c r="S967" s="233">
        <v>133</v>
      </c>
      <c r="T967" s="247" t="s">
        <v>1877</v>
      </c>
      <c r="U967" s="245">
        <v>-38</v>
      </c>
      <c r="V967" s="245">
        <v>-36</v>
      </c>
      <c r="W967" s="245">
        <v>-34</v>
      </c>
      <c r="X967" s="245">
        <v>-31</v>
      </c>
      <c r="Y967" s="245">
        <v>-17</v>
      </c>
      <c r="Z967" s="245">
        <v>-47</v>
      </c>
      <c r="AA967" s="245">
        <v>8.6999999999999993</v>
      </c>
      <c r="AB967" s="245">
        <v>184</v>
      </c>
      <c r="AC967" s="245">
        <v>-7.6</v>
      </c>
      <c r="AD967" s="245">
        <v>261</v>
      </c>
      <c r="AE967" s="245">
        <v>-4.2</v>
      </c>
      <c r="AF967" s="245">
        <v>281</v>
      </c>
      <c r="AG967" s="245">
        <v>-3.2</v>
      </c>
      <c r="AH967" s="245">
        <v>86</v>
      </c>
      <c r="AI967" s="245">
        <v>86</v>
      </c>
      <c r="AJ967" s="245">
        <v>159</v>
      </c>
      <c r="AK967" s="245" t="s">
        <v>971</v>
      </c>
      <c r="AL967" s="245" t="s">
        <v>931</v>
      </c>
      <c r="AM967" s="246">
        <v>3.1</v>
      </c>
      <c r="AN967" s="235">
        <v>133</v>
      </c>
      <c r="AO967" s="247" t="s">
        <v>1878</v>
      </c>
      <c r="AP967" s="247">
        <v>1000</v>
      </c>
      <c r="AQ967" s="247">
        <v>17.399999999999999</v>
      </c>
      <c r="AR967" s="247">
        <v>21.8</v>
      </c>
      <c r="AS967" s="247">
        <v>19.8</v>
      </c>
      <c r="AT967" s="247">
        <v>33</v>
      </c>
      <c r="AU967" s="247">
        <v>10.6</v>
      </c>
      <c r="AV967" s="247">
        <v>71</v>
      </c>
      <c r="AW967" s="247">
        <v>58</v>
      </c>
      <c r="AX967" s="247">
        <v>383</v>
      </c>
      <c r="AY967" s="247">
        <v>60</v>
      </c>
      <c r="AZ967" s="247" t="s">
        <v>978</v>
      </c>
      <c r="BA967" s="248">
        <v>3.1</v>
      </c>
      <c r="BB967" s="235">
        <v>116</v>
      </c>
      <c r="BC967" s="247" t="s">
        <v>1876</v>
      </c>
      <c r="BD967" s="247">
        <v>2.4</v>
      </c>
      <c r="BE967" s="247">
        <v>2.2999999999999998</v>
      </c>
      <c r="BF967" s="247">
        <v>2.9</v>
      </c>
      <c r="BG967" s="247">
        <v>4.0999999999999996</v>
      </c>
      <c r="BH967" s="247">
        <v>5.8</v>
      </c>
      <c r="BI967" s="247">
        <v>9.1999999999999993</v>
      </c>
      <c r="BJ967" s="247">
        <v>11.9</v>
      </c>
      <c r="BK967" s="247">
        <v>11.7</v>
      </c>
      <c r="BL967" s="247">
        <v>8.6999999999999993</v>
      </c>
      <c r="BM967" s="247">
        <v>5.9</v>
      </c>
      <c r="BN967" s="247">
        <v>4.3</v>
      </c>
      <c r="BO967" s="247">
        <v>3.2</v>
      </c>
      <c r="BP967" s="248">
        <v>6</v>
      </c>
    </row>
    <row r="968" spans="1:68" ht="14.25" customHeight="1">
      <c r="A968" s="233">
        <v>311</v>
      </c>
      <c r="B968" s="234">
        <v>632</v>
      </c>
      <c r="C968" s="244" t="s">
        <v>953</v>
      </c>
      <c r="D968" s="244" t="s">
        <v>1879</v>
      </c>
      <c r="E968" s="244" t="s">
        <v>1880</v>
      </c>
      <c r="F968" s="245">
        <v>-6.4</v>
      </c>
      <c r="G968" s="245">
        <v>-5.2</v>
      </c>
      <c r="H968" s="245">
        <v>-0.1</v>
      </c>
      <c r="I968" s="245">
        <v>8.6</v>
      </c>
      <c r="J968" s="245">
        <v>15.5</v>
      </c>
      <c r="K968" s="245">
        <v>18.600000000000001</v>
      </c>
      <c r="L968" s="245">
        <v>19.8</v>
      </c>
      <c r="M968" s="245">
        <v>18.899999999999999</v>
      </c>
      <c r="N968" s="245">
        <v>13.9</v>
      </c>
      <c r="O968" s="245">
        <v>7.5</v>
      </c>
      <c r="P968" s="245">
        <v>1.4</v>
      </c>
      <c r="Q968" s="245">
        <v>-3.1</v>
      </c>
      <c r="R968" s="246">
        <v>7.5</v>
      </c>
      <c r="S968" s="233">
        <v>621</v>
      </c>
      <c r="T968" s="247" t="s">
        <v>1880</v>
      </c>
      <c r="U968" s="245">
        <v>-29</v>
      </c>
      <c r="V968" s="245">
        <v>-26</v>
      </c>
      <c r="W968" s="245">
        <v>-25</v>
      </c>
      <c r="X968" s="245">
        <v>-23</v>
      </c>
      <c r="Y968" s="245">
        <v>-11</v>
      </c>
      <c r="Z968" s="245">
        <v>-34</v>
      </c>
      <c r="AA968" s="245" t="s">
        <v>956</v>
      </c>
      <c r="AB968" s="245">
        <v>112</v>
      </c>
      <c r="AC968" s="245">
        <v>-4.2</v>
      </c>
      <c r="AD968" s="245">
        <v>179</v>
      </c>
      <c r="AE968" s="245">
        <v>-1.2</v>
      </c>
      <c r="AF968" s="245">
        <v>195</v>
      </c>
      <c r="AG968" s="245">
        <v>-0.4</v>
      </c>
      <c r="AH968" s="245" t="s">
        <v>956</v>
      </c>
      <c r="AI968" s="245" t="s">
        <v>956</v>
      </c>
      <c r="AJ968" s="245">
        <v>247</v>
      </c>
      <c r="AK968" s="245" t="s">
        <v>990</v>
      </c>
      <c r="AL968" s="245" t="s">
        <v>931</v>
      </c>
      <c r="AM968" s="246" t="s">
        <v>931</v>
      </c>
      <c r="AN968" s="235">
        <v>622</v>
      </c>
      <c r="AO968" s="247" t="s">
        <v>1881</v>
      </c>
      <c r="AP968" s="247">
        <v>1000</v>
      </c>
      <c r="AQ968" s="247">
        <v>27</v>
      </c>
      <c r="AR968" s="247">
        <v>24</v>
      </c>
      <c r="AS968" s="247">
        <v>25.7</v>
      </c>
      <c r="AT968" s="247">
        <v>38</v>
      </c>
      <c r="AU968" s="247" t="s">
        <v>934</v>
      </c>
      <c r="AV968" s="247" t="s">
        <v>958</v>
      </c>
      <c r="AW968" s="247" t="s">
        <v>931</v>
      </c>
      <c r="AX968" s="247" t="s">
        <v>931</v>
      </c>
      <c r="AY968" s="247">
        <v>84</v>
      </c>
      <c r="AZ968" s="247" t="s">
        <v>959</v>
      </c>
      <c r="BA968" s="248">
        <v>1.5</v>
      </c>
      <c r="BB968" s="235"/>
      <c r="BC968" s="247" t="s">
        <v>1880</v>
      </c>
      <c r="BD968" s="247"/>
      <c r="BE968" s="247"/>
      <c r="BF968" s="247"/>
      <c r="BG968" s="247"/>
      <c r="BH968" s="247"/>
      <c r="BI968" s="247"/>
      <c r="BJ968" s="247"/>
      <c r="BK968" s="247"/>
      <c r="BL968" s="247"/>
      <c r="BM968" s="247"/>
      <c r="BN968" s="247"/>
      <c r="BO968" s="247"/>
      <c r="BP968" s="248"/>
    </row>
    <row r="969" spans="1:68" ht="14.25" customHeight="1">
      <c r="A969" s="233">
        <v>312</v>
      </c>
      <c r="B969" s="234">
        <v>624</v>
      </c>
      <c r="C969" s="244" t="s">
        <v>953</v>
      </c>
      <c r="D969" s="244" t="s">
        <v>1882</v>
      </c>
      <c r="E969" s="244" t="s">
        <v>1883</v>
      </c>
      <c r="F969" s="245">
        <v>-5.9</v>
      </c>
      <c r="G969" s="245">
        <v>-4.8</v>
      </c>
      <c r="H969" s="245">
        <v>0.8</v>
      </c>
      <c r="I969" s="245">
        <v>10</v>
      </c>
      <c r="J969" s="245">
        <v>16.3</v>
      </c>
      <c r="K969" s="245">
        <v>19.899999999999999</v>
      </c>
      <c r="L969" s="245">
        <v>21.7</v>
      </c>
      <c r="M969" s="245">
        <v>20.6</v>
      </c>
      <c r="N969" s="245">
        <v>15</v>
      </c>
      <c r="O969" s="245">
        <v>7.9</v>
      </c>
      <c r="P969" s="245">
        <v>2.4</v>
      </c>
      <c r="Q969" s="245">
        <v>-2.2000000000000002</v>
      </c>
      <c r="R969" s="246">
        <v>8.5</v>
      </c>
      <c r="S969" s="233">
        <v>613</v>
      </c>
      <c r="T969" s="247" t="s">
        <v>1883</v>
      </c>
      <c r="U969" s="245">
        <v>-32</v>
      </c>
      <c r="V969" s="245">
        <v>-29</v>
      </c>
      <c r="W969" s="245">
        <v>-27</v>
      </c>
      <c r="X969" s="245">
        <v>-25</v>
      </c>
      <c r="Y969" s="245">
        <v>-10</v>
      </c>
      <c r="Z969" s="245">
        <v>-42</v>
      </c>
      <c r="AA969" s="245" t="s">
        <v>956</v>
      </c>
      <c r="AB969" s="245">
        <v>100</v>
      </c>
      <c r="AC969" s="245">
        <v>-4.0999999999999996</v>
      </c>
      <c r="AD969" s="245">
        <v>172</v>
      </c>
      <c r="AE969" s="245">
        <v>-0.8</v>
      </c>
      <c r="AF969" s="245">
        <v>188</v>
      </c>
      <c r="AG969" s="245">
        <v>0</v>
      </c>
      <c r="AH969" s="245" t="s">
        <v>956</v>
      </c>
      <c r="AI969" s="245" t="s">
        <v>956</v>
      </c>
      <c r="AJ969" s="245">
        <v>179</v>
      </c>
      <c r="AK969" s="245" t="s">
        <v>982</v>
      </c>
      <c r="AL969" s="245" t="s">
        <v>931</v>
      </c>
      <c r="AM969" s="246" t="s">
        <v>931</v>
      </c>
      <c r="AN969" s="235">
        <v>614</v>
      </c>
      <c r="AO969" s="247" t="s">
        <v>1884</v>
      </c>
      <c r="AP969" s="247">
        <v>1010</v>
      </c>
      <c r="AQ969" s="247">
        <v>30</v>
      </c>
      <c r="AR969" s="247">
        <v>26</v>
      </c>
      <c r="AS969" s="247">
        <v>27.8</v>
      </c>
      <c r="AT969" s="247">
        <v>41</v>
      </c>
      <c r="AU969" s="247" t="s">
        <v>934</v>
      </c>
      <c r="AV969" s="247" t="s">
        <v>958</v>
      </c>
      <c r="AW969" s="247" t="s">
        <v>931</v>
      </c>
      <c r="AX969" s="247" t="s">
        <v>931</v>
      </c>
      <c r="AY969" s="247">
        <v>80</v>
      </c>
      <c r="AZ969" s="247" t="s">
        <v>952</v>
      </c>
      <c r="BA969" s="248">
        <v>1.4</v>
      </c>
      <c r="BB969" s="235"/>
      <c r="BC969" s="247" t="s">
        <v>1883</v>
      </c>
      <c r="BD969" s="247"/>
      <c r="BE969" s="247"/>
      <c r="BF969" s="247"/>
      <c r="BG969" s="247"/>
      <c r="BH969" s="247"/>
      <c r="BI969" s="247"/>
      <c r="BJ969" s="247"/>
      <c r="BK969" s="247"/>
      <c r="BL969" s="247"/>
      <c r="BM969" s="247"/>
      <c r="BN969" s="247"/>
      <c r="BO969" s="247"/>
      <c r="BP969" s="248"/>
    </row>
    <row r="970" spans="1:68" ht="14.25" customHeight="1">
      <c r="A970" s="233">
        <v>313</v>
      </c>
      <c r="B970" s="234">
        <v>609</v>
      </c>
      <c r="C970" s="244" t="s">
        <v>953</v>
      </c>
      <c r="D970" s="244" t="s">
        <v>1732</v>
      </c>
      <c r="E970" s="244" t="s">
        <v>1885</v>
      </c>
      <c r="F970" s="245">
        <v>-4.9000000000000004</v>
      </c>
      <c r="G970" s="245">
        <v>-3.5</v>
      </c>
      <c r="H970" s="245">
        <v>0.9</v>
      </c>
      <c r="I970" s="245">
        <v>8</v>
      </c>
      <c r="J970" s="245">
        <v>13.5</v>
      </c>
      <c r="K970" s="245">
        <v>16.8</v>
      </c>
      <c r="L970" s="245">
        <v>18</v>
      </c>
      <c r="M970" s="245">
        <v>17.399999999999999</v>
      </c>
      <c r="N970" s="245">
        <v>13.3</v>
      </c>
      <c r="O970" s="245">
        <v>7.9</v>
      </c>
      <c r="P970" s="245">
        <v>2.6</v>
      </c>
      <c r="Q970" s="245">
        <v>-2</v>
      </c>
      <c r="R970" s="246">
        <v>7.3</v>
      </c>
      <c r="S970" s="233">
        <v>598</v>
      </c>
      <c r="T970" s="247" t="s">
        <v>1885</v>
      </c>
      <c r="U970" s="245">
        <v>-27</v>
      </c>
      <c r="V970" s="245">
        <v>-24</v>
      </c>
      <c r="W970" s="245">
        <v>-22</v>
      </c>
      <c r="X970" s="245">
        <v>-20</v>
      </c>
      <c r="Y970" s="245">
        <v>-8</v>
      </c>
      <c r="Z970" s="245">
        <v>-34</v>
      </c>
      <c r="AA970" s="245" t="s">
        <v>956</v>
      </c>
      <c r="AB970" s="245">
        <v>99</v>
      </c>
      <c r="AC970" s="245">
        <v>-3.3</v>
      </c>
      <c r="AD970" s="245">
        <v>179</v>
      </c>
      <c r="AE970" s="245">
        <v>-0.1</v>
      </c>
      <c r="AF970" s="245">
        <v>199</v>
      </c>
      <c r="AG970" s="245">
        <v>0.8</v>
      </c>
      <c r="AH970" s="245" t="s">
        <v>956</v>
      </c>
      <c r="AI970" s="245" t="s">
        <v>956</v>
      </c>
      <c r="AJ970" s="245">
        <v>162</v>
      </c>
      <c r="AK970" s="245" t="s">
        <v>990</v>
      </c>
      <c r="AL970" s="245" t="s">
        <v>931</v>
      </c>
      <c r="AM970" s="246" t="s">
        <v>931</v>
      </c>
      <c r="AN970" s="235">
        <v>599</v>
      </c>
      <c r="AO970" s="247" t="s">
        <v>1886</v>
      </c>
      <c r="AP970" s="247">
        <v>990</v>
      </c>
      <c r="AQ970" s="247">
        <v>26</v>
      </c>
      <c r="AR970" s="247">
        <v>22</v>
      </c>
      <c r="AS970" s="247">
        <v>23.6</v>
      </c>
      <c r="AT970" s="247">
        <v>36</v>
      </c>
      <c r="AU970" s="247" t="s">
        <v>934</v>
      </c>
      <c r="AV970" s="247" t="s">
        <v>958</v>
      </c>
      <c r="AW970" s="247" t="s">
        <v>931</v>
      </c>
      <c r="AX970" s="247" t="s">
        <v>931</v>
      </c>
      <c r="AY970" s="247">
        <v>114</v>
      </c>
      <c r="AZ970" s="247" t="s">
        <v>952</v>
      </c>
      <c r="BA970" s="248">
        <v>1.9</v>
      </c>
      <c r="BB970" s="235"/>
      <c r="BC970" s="247" t="s">
        <v>1885</v>
      </c>
      <c r="BD970" s="247"/>
      <c r="BE970" s="247"/>
      <c r="BF970" s="247"/>
      <c r="BG970" s="247"/>
      <c r="BH970" s="247"/>
      <c r="BI970" s="247"/>
      <c r="BJ970" s="247"/>
      <c r="BK970" s="247"/>
      <c r="BL970" s="247"/>
      <c r="BM970" s="247"/>
      <c r="BN970" s="247"/>
      <c r="BO970" s="247"/>
      <c r="BP970" s="248"/>
    </row>
    <row r="971" spans="1:68" ht="14.25" customHeight="1">
      <c r="A971" s="233">
        <v>314</v>
      </c>
      <c r="B971" s="234">
        <v>625</v>
      </c>
      <c r="C971" s="244" t="s">
        <v>953</v>
      </c>
      <c r="D971" s="244" t="s">
        <v>1887</v>
      </c>
      <c r="E971" s="244" t="s">
        <v>1888</v>
      </c>
      <c r="F971" s="245">
        <v>-4.5999999999999996</v>
      </c>
      <c r="G971" s="245">
        <v>-3.1</v>
      </c>
      <c r="H971" s="245">
        <v>1.1000000000000001</v>
      </c>
      <c r="I971" s="245">
        <v>7.7</v>
      </c>
      <c r="J971" s="245">
        <v>13.2</v>
      </c>
      <c r="K971" s="245">
        <v>16.100000000000001</v>
      </c>
      <c r="L971" s="245">
        <v>17.3</v>
      </c>
      <c r="M971" s="245">
        <v>16.8</v>
      </c>
      <c r="N971" s="245">
        <v>13</v>
      </c>
      <c r="O971" s="245">
        <v>8</v>
      </c>
      <c r="P971" s="245">
        <v>2.5</v>
      </c>
      <c r="Q971" s="245">
        <v>-2.1</v>
      </c>
      <c r="R971" s="246">
        <v>7.2</v>
      </c>
      <c r="S971" s="233">
        <v>614</v>
      </c>
      <c r="T971" s="247" t="s">
        <v>1888</v>
      </c>
      <c r="U971" s="245">
        <v>-25</v>
      </c>
      <c r="V971" s="245">
        <v>-24</v>
      </c>
      <c r="W971" s="245">
        <v>-20</v>
      </c>
      <c r="X971" s="245">
        <v>-19</v>
      </c>
      <c r="Y971" s="245">
        <v>-9</v>
      </c>
      <c r="Z971" s="245">
        <v>-34</v>
      </c>
      <c r="AA971" s="245" t="s">
        <v>956</v>
      </c>
      <c r="AB971" s="245">
        <v>99</v>
      </c>
      <c r="AC971" s="245">
        <v>-3</v>
      </c>
      <c r="AD971" s="245">
        <v>179</v>
      </c>
      <c r="AE971" s="245">
        <v>0</v>
      </c>
      <c r="AF971" s="245">
        <v>201</v>
      </c>
      <c r="AG971" s="245">
        <v>1</v>
      </c>
      <c r="AH971" s="245" t="s">
        <v>956</v>
      </c>
      <c r="AI971" s="245" t="s">
        <v>956</v>
      </c>
      <c r="AJ971" s="245">
        <v>231</v>
      </c>
      <c r="AK971" s="245" t="s">
        <v>990</v>
      </c>
      <c r="AL971" s="245">
        <v>5.8</v>
      </c>
      <c r="AM971" s="246" t="s">
        <v>931</v>
      </c>
      <c r="AN971" s="235">
        <v>615</v>
      </c>
      <c r="AO971" s="247" t="s">
        <v>1889</v>
      </c>
      <c r="AP971" s="247">
        <v>975</v>
      </c>
      <c r="AQ971" s="247">
        <v>26</v>
      </c>
      <c r="AR971" s="247">
        <v>22</v>
      </c>
      <c r="AS971" s="247">
        <v>22.9</v>
      </c>
      <c r="AT971" s="247">
        <v>37</v>
      </c>
      <c r="AU971" s="247" t="s">
        <v>934</v>
      </c>
      <c r="AV971" s="247" t="s">
        <v>958</v>
      </c>
      <c r="AW971" s="247" t="s">
        <v>931</v>
      </c>
      <c r="AX971" s="247" t="s">
        <v>931</v>
      </c>
      <c r="AY971" s="247">
        <v>92</v>
      </c>
      <c r="AZ971" s="247" t="s">
        <v>952</v>
      </c>
      <c r="BA971" s="248">
        <v>2</v>
      </c>
      <c r="BB971" s="235"/>
      <c r="BC971" s="247" t="s">
        <v>1888</v>
      </c>
      <c r="BD971" s="247"/>
      <c r="BE971" s="247"/>
      <c r="BF971" s="247"/>
      <c r="BG971" s="247"/>
      <c r="BH971" s="247"/>
      <c r="BI971" s="247"/>
      <c r="BJ971" s="247"/>
      <c r="BK971" s="247"/>
      <c r="BL971" s="247"/>
      <c r="BM971" s="247"/>
      <c r="BN971" s="247"/>
      <c r="BO971" s="247"/>
      <c r="BP971" s="248"/>
    </row>
    <row r="972" spans="1:68" ht="14.25" customHeight="1">
      <c r="A972" s="233">
        <v>315</v>
      </c>
      <c r="B972" s="234">
        <v>628</v>
      </c>
      <c r="C972" s="244" t="s">
        <v>953</v>
      </c>
      <c r="D972" s="244" t="s">
        <v>1565</v>
      </c>
      <c r="E972" s="244" t="s">
        <v>1890</v>
      </c>
      <c r="F972" s="245">
        <v>-5</v>
      </c>
      <c r="G972" s="245">
        <v>-3.5</v>
      </c>
      <c r="H972" s="245">
        <v>1.1000000000000001</v>
      </c>
      <c r="I972" s="245">
        <v>9.1</v>
      </c>
      <c r="J972" s="245">
        <v>15.2</v>
      </c>
      <c r="K972" s="245">
        <v>18.5</v>
      </c>
      <c r="L972" s="245">
        <v>20</v>
      </c>
      <c r="M972" s="245">
        <v>19.5</v>
      </c>
      <c r="N972" s="245">
        <v>15.2</v>
      </c>
      <c r="O972" s="245">
        <v>8.8000000000000007</v>
      </c>
      <c r="P972" s="245">
        <v>2.9</v>
      </c>
      <c r="Q972" s="245">
        <v>-1.3</v>
      </c>
      <c r="R972" s="246">
        <v>8.4</v>
      </c>
      <c r="S972" s="233">
        <v>617</v>
      </c>
      <c r="T972" s="247" t="s">
        <v>1890</v>
      </c>
      <c r="U972" s="245">
        <v>-24</v>
      </c>
      <c r="V972" s="245">
        <v>-21</v>
      </c>
      <c r="W972" s="245">
        <v>-21</v>
      </c>
      <c r="X972" s="245">
        <v>-19</v>
      </c>
      <c r="Y972" s="245">
        <v>-7</v>
      </c>
      <c r="Z972" s="245">
        <v>-30</v>
      </c>
      <c r="AA972" s="245" t="s">
        <v>956</v>
      </c>
      <c r="AB972" s="245">
        <v>93</v>
      </c>
      <c r="AC972" s="245">
        <v>-3.3</v>
      </c>
      <c r="AD972" s="245">
        <v>171</v>
      </c>
      <c r="AE972" s="245">
        <v>-0.2</v>
      </c>
      <c r="AF972" s="245">
        <v>187</v>
      </c>
      <c r="AG972" s="245">
        <v>0.6</v>
      </c>
      <c r="AH972" s="245" t="s">
        <v>956</v>
      </c>
      <c r="AI972" s="245" t="s">
        <v>956</v>
      </c>
      <c r="AJ972" s="245">
        <v>194</v>
      </c>
      <c r="AK972" s="245" t="s">
        <v>990</v>
      </c>
      <c r="AL972" s="245" t="s">
        <v>931</v>
      </c>
      <c r="AM972" s="246" t="s">
        <v>931</v>
      </c>
      <c r="AN972" s="235">
        <v>618</v>
      </c>
      <c r="AO972" s="247" t="s">
        <v>1891</v>
      </c>
      <c r="AP972" s="247">
        <v>995</v>
      </c>
      <c r="AQ972" s="247">
        <v>29</v>
      </c>
      <c r="AR972" s="247">
        <v>24</v>
      </c>
      <c r="AS972" s="247">
        <v>25.9</v>
      </c>
      <c r="AT972" s="247">
        <v>37</v>
      </c>
      <c r="AU972" s="247" t="s">
        <v>934</v>
      </c>
      <c r="AV972" s="247" t="s">
        <v>958</v>
      </c>
      <c r="AW972" s="247" t="s">
        <v>931</v>
      </c>
      <c r="AX972" s="247" t="s">
        <v>931</v>
      </c>
      <c r="AY972" s="247">
        <v>102</v>
      </c>
      <c r="AZ972" s="247" t="s">
        <v>1005</v>
      </c>
      <c r="BA972" s="248">
        <v>2.1</v>
      </c>
      <c r="BB972" s="235"/>
      <c r="BC972" s="247" t="s">
        <v>1890</v>
      </c>
      <c r="BD972" s="247"/>
      <c r="BE972" s="247"/>
      <c r="BF972" s="247"/>
      <c r="BG972" s="247"/>
      <c r="BH972" s="247"/>
      <c r="BI972" s="247"/>
      <c r="BJ972" s="247"/>
      <c r="BK972" s="247"/>
      <c r="BL972" s="247"/>
      <c r="BM972" s="247"/>
      <c r="BN972" s="247"/>
      <c r="BO972" s="247"/>
      <c r="BP972" s="248"/>
    </row>
    <row r="973" spans="1:68" ht="14.25" customHeight="1">
      <c r="A973" s="233">
        <v>316</v>
      </c>
      <c r="B973" s="234">
        <v>203</v>
      </c>
      <c r="C973" s="244" t="s">
        <v>928</v>
      </c>
      <c r="D973" s="244" t="s">
        <v>1039</v>
      </c>
      <c r="E973" s="244" t="s">
        <v>1892</v>
      </c>
      <c r="F973" s="245">
        <v>-17</v>
      </c>
      <c r="G973" s="245">
        <v>-16</v>
      </c>
      <c r="H973" s="245">
        <v>-12.6</v>
      </c>
      <c r="I973" s="245">
        <v>-5.7</v>
      </c>
      <c r="J973" s="245">
        <v>1.3</v>
      </c>
      <c r="K973" s="245">
        <v>6.6</v>
      </c>
      <c r="L973" s="245">
        <v>11.2</v>
      </c>
      <c r="M973" s="245">
        <v>11.5</v>
      </c>
      <c r="N973" s="245">
        <v>7.1</v>
      </c>
      <c r="O973" s="245">
        <v>-2.4</v>
      </c>
      <c r="P973" s="245">
        <v>-11.4</v>
      </c>
      <c r="Q973" s="245">
        <v>-15</v>
      </c>
      <c r="R973" s="246">
        <v>-3.5</v>
      </c>
      <c r="S973" s="233">
        <v>203</v>
      </c>
      <c r="T973" s="247" t="s">
        <v>1893</v>
      </c>
      <c r="U973" s="245">
        <v>-34</v>
      </c>
      <c r="V973" s="245">
        <v>-32</v>
      </c>
      <c r="W973" s="245">
        <v>-31</v>
      </c>
      <c r="X973" s="245">
        <v>-29</v>
      </c>
      <c r="Y973" s="245">
        <v>-22</v>
      </c>
      <c r="Z973" s="245">
        <v>-35</v>
      </c>
      <c r="AA973" s="245">
        <v>5.2</v>
      </c>
      <c r="AB973" s="245">
        <v>214</v>
      </c>
      <c r="AC973" s="245">
        <v>-11.1</v>
      </c>
      <c r="AD973" s="245">
        <v>288</v>
      </c>
      <c r="AE973" s="245">
        <v>-7.1</v>
      </c>
      <c r="AF973" s="245">
        <v>316</v>
      </c>
      <c r="AG973" s="245">
        <v>-5.7</v>
      </c>
      <c r="AH973" s="245">
        <v>63</v>
      </c>
      <c r="AI973" s="245">
        <v>62</v>
      </c>
      <c r="AJ973" s="245">
        <v>114</v>
      </c>
      <c r="AK973" s="245" t="s">
        <v>938</v>
      </c>
      <c r="AL973" s="245">
        <v>7.3</v>
      </c>
      <c r="AM973" s="246">
        <v>5.2</v>
      </c>
      <c r="AN973" s="235">
        <v>203</v>
      </c>
      <c r="AO973" s="247" t="s">
        <v>1892</v>
      </c>
      <c r="AP973" s="247">
        <v>1000</v>
      </c>
      <c r="AQ973" s="247">
        <v>12.8</v>
      </c>
      <c r="AR973" s="247">
        <v>16.100000000000001</v>
      </c>
      <c r="AS973" s="247">
        <v>14.9</v>
      </c>
      <c r="AT973" s="247">
        <v>26</v>
      </c>
      <c r="AU973" s="247">
        <v>6</v>
      </c>
      <c r="AV973" s="247">
        <v>83</v>
      </c>
      <c r="AW973" s="247">
        <v>83</v>
      </c>
      <c r="AX973" s="247">
        <v>412</v>
      </c>
      <c r="AY973" s="247">
        <v>98</v>
      </c>
      <c r="AZ973" s="247" t="s">
        <v>952</v>
      </c>
      <c r="BA973" s="248">
        <v>4.3</v>
      </c>
      <c r="BB973" s="235">
        <v>178</v>
      </c>
      <c r="BC973" s="247" t="s">
        <v>1892</v>
      </c>
      <c r="BD973" s="247">
        <v>1.2</v>
      </c>
      <c r="BE973" s="247">
        <v>1.3</v>
      </c>
      <c r="BF973" s="247">
        <v>1.6</v>
      </c>
      <c r="BG973" s="247">
        <v>3</v>
      </c>
      <c r="BH973" s="247">
        <v>5.2</v>
      </c>
      <c r="BI973" s="247">
        <v>8.1999999999999993</v>
      </c>
      <c r="BJ973" s="247">
        <v>11.1</v>
      </c>
      <c r="BK973" s="247">
        <v>11.3</v>
      </c>
      <c r="BL973" s="247">
        <v>8</v>
      </c>
      <c r="BM973" s="247">
        <v>3.7</v>
      </c>
      <c r="BN973" s="247">
        <v>1.9</v>
      </c>
      <c r="BO973" s="247">
        <v>1.4</v>
      </c>
      <c r="BP973" s="248">
        <v>4.8</v>
      </c>
    </row>
    <row r="974" spans="1:68" ht="14.25" customHeight="1">
      <c r="A974" s="233">
        <v>317</v>
      </c>
      <c r="B974" s="234">
        <v>1</v>
      </c>
      <c r="C974" s="244" t="s">
        <v>928</v>
      </c>
      <c r="D974" s="244" t="s">
        <v>1894</v>
      </c>
      <c r="E974" s="244" t="s">
        <v>1895</v>
      </c>
      <c r="F974" s="245">
        <v>-1.4</v>
      </c>
      <c r="G974" s="245">
        <v>0.3</v>
      </c>
      <c r="H974" s="245">
        <v>4.0999999999999996</v>
      </c>
      <c r="I974" s="245">
        <v>11.3</v>
      </c>
      <c r="J974" s="245">
        <v>16.5</v>
      </c>
      <c r="K974" s="245">
        <v>19.7</v>
      </c>
      <c r="L974" s="245">
        <v>22.2</v>
      </c>
      <c r="M974" s="245">
        <v>21.9</v>
      </c>
      <c r="N974" s="245">
        <v>17.100000000000001</v>
      </c>
      <c r="O974" s="245">
        <v>11.2</v>
      </c>
      <c r="P974" s="245">
        <v>6.2</v>
      </c>
      <c r="Q974" s="245">
        <v>1.4</v>
      </c>
      <c r="R974" s="246">
        <v>10.9</v>
      </c>
      <c r="S974" s="233">
        <v>1</v>
      </c>
      <c r="T974" s="247" t="s">
        <v>1896</v>
      </c>
      <c r="U974" s="245">
        <v>-27</v>
      </c>
      <c r="V974" s="245">
        <v>-22</v>
      </c>
      <c r="W974" s="245">
        <v>-21</v>
      </c>
      <c r="X974" s="245">
        <v>-19</v>
      </c>
      <c r="Y974" s="245">
        <v>-6</v>
      </c>
      <c r="Z974" s="245">
        <v>-34</v>
      </c>
      <c r="AA974" s="245">
        <v>9</v>
      </c>
      <c r="AB974" s="245">
        <v>40</v>
      </c>
      <c r="AC974" s="245">
        <v>-1</v>
      </c>
      <c r="AD974" s="245">
        <v>148</v>
      </c>
      <c r="AE974" s="245">
        <v>2.2999999999999998</v>
      </c>
      <c r="AF974" s="245">
        <v>169</v>
      </c>
      <c r="AG974" s="245">
        <v>3.1</v>
      </c>
      <c r="AH974" s="245">
        <v>79</v>
      </c>
      <c r="AI974" s="245">
        <v>72</v>
      </c>
      <c r="AJ974" s="245">
        <v>276</v>
      </c>
      <c r="AK974" s="245" t="s">
        <v>963</v>
      </c>
      <c r="AL974" s="245">
        <v>5.7</v>
      </c>
      <c r="AM974" s="246">
        <v>3</v>
      </c>
      <c r="AN974" s="235">
        <v>1</v>
      </c>
      <c r="AO974" s="247" t="s">
        <v>1897</v>
      </c>
      <c r="AP974" s="247">
        <v>990</v>
      </c>
      <c r="AQ974" s="247">
        <v>26.6</v>
      </c>
      <c r="AR974" s="247">
        <v>30.6</v>
      </c>
      <c r="AS974" s="247">
        <v>29</v>
      </c>
      <c r="AT974" s="247">
        <v>41</v>
      </c>
      <c r="AU974" s="247">
        <v>12.8</v>
      </c>
      <c r="AV974" s="247">
        <v>67</v>
      </c>
      <c r="AW974" s="247">
        <v>48</v>
      </c>
      <c r="AX974" s="247">
        <v>481</v>
      </c>
      <c r="AY974" s="247">
        <v>88</v>
      </c>
      <c r="AZ974" s="247" t="s">
        <v>973</v>
      </c>
      <c r="BA974" s="248">
        <v>2.1</v>
      </c>
      <c r="BB974" s="235">
        <v>1</v>
      </c>
      <c r="BC974" s="247" t="s">
        <v>1895</v>
      </c>
      <c r="BD974" s="247">
        <v>4.5999999999999996</v>
      </c>
      <c r="BE974" s="247">
        <v>5.0999999999999996</v>
      </c>
      <c r="BF974" s="247">
        <v>5.9</v>
      </c>
      <c r="BG974" s="247">
        <v>8.6999999999999993</v>
      </c>
      <c r="BH974" s="247">
        <v>12.5</v>
      </c>
      <c r="BI974" s="247">
        <v>15.4</v>
      </c>
      <c r="BJ974" s="247">
        <v>17.399999999999999</v>
      </c>
      <c r="BK974" s="247">
        <v>16.8</v>
      </c>
      <c r="BL974" s="247">
        <v>13.5</v>
      </c>
      <c r="BM974" s="247">
        <v>9.9</v>
      </c>
      <c r="BN974" s="247">
        <v>7.6</v>
      </c>
      <c r="BO974" s="247">
        <v>5.7</v>
      </c>
      <c r="BP974" s="248">
        <v>10.3</v>
      </c>
    </row>
    <row r="975" spans="1:68" ht="14.25" customHeight="1">
      <c r="A975" s="233">
        <v>318</v>
      </c>
      <c r="B975" s="234">
        <v>292</v>
      </c>
      <c r="C975" s="244" t="s">
        <v>928</v>
      </c>
      <c r="D975" s="244" t="s">
        <v>992</v>
      </c>
      <c r="E975" s="244" t="s">
        <v>433</v>
      </c>
      <c r="F975" s="245">
        <v>-14.3</v>
      </c>
      <c r="G975" s="245">
        <v>-12.3</v>
      </c>
      <c r="H975" s="245">
        <v>-6.7</v>
      </c>
      <c r="I975" s="245">
        <v>0.9</v>
      </c>
      <c r="J975" s="245">
        <v>5.3</v>
      </c>
      <c r="K975" s="245">
        <v>9.5</v>
      </c>
      <c r="L975" s="245">
        <v>13.8</v>
      </c>
      <c r="M975" s="245">
        <v>15.7</v>
      </c>
      <c r="N975" s="245">
        <v>12.8</v>
      </c>
      <c r="O975" s="245">
        <v>6</v>
      </c>
      <c r="P975" s="245">
        <v>-3</v>
      </c>
      <c r="Q975" s="245">
        <v>-10.199999999999999</v>
      </c>
      <c r="R975" s="246">
        <v>1.6</v>
      </c>
      <c r="S975" s="233">
        <v>292</v>
      </c>
      <c r="T975" s="247" t="s">
        <v>1898</v>
      </c>
      <c r="U975" s="245">
        <v>-27</v>
      </c>
      <c r="V975" s="245">
        <v>-26</v>
      </c>
      <c r="W975" s="245">
        <v>-24</v>
      </c>
      <c r="X975" s="245">
        <v>-23</v>
      </c>
      <c r="Y975" s="245">
        <v>-19</v>
      </c>
      <c r="Z975" s="245">
        <v>-32</v>
      </c>
      <c r="AA975" s="245">
        <v>8.6</v>
      </c>
      <c r="AB975" s="245">
        <v>158</v>
      </c>
      <c r="AC975" s="245">
        <v>-8.6</v>
      </c>
      <c r="AD975" s="245">
        <v>241</v>
      </c>
      <c r="AE975" s="245">
        <v>-4.2</v>
      </c>
      <c r="AF975" s="245">
        <v>264</v>
      </c>
      <c r="AG975" s="245">
        <v>-3</v>
      </c>
      <c r="AH975" s="245">
        <v>66</v>
      </c>
      <c r="AI975" s="245">
        <v>59</v>
      </c>
      <c r="AJ975" s="245">
        <v>212</v>
      </c>
      <c r="AK975" s="245" t="s">
        <v>944</v>
      </c>
      <c r="AL975" s="245" t="s">
        <v>931</v>
      </c>
      <c r="AM975" s="246">
        <v>3.4</v>
      </c>
      <c r="AN975" s="235">
        <v>286</v>
      </c>
      <c r="AO975" s="247" t="s">
        <v>1899</v>
      </c>
      <c r="AP975" s="247">
        <v>1010</v>
      </c>
      <c r="AQ975" s="247">
        <v>16.8</v>
      </c>
      <c r="AR975" s="247">
        <v>21.2</v>
      </c>
      <c r="AS975" s="247">
        <v>19.2</v>
      </c>
      <c r="AT975" s="247">
        <v>33</v>
      </c>
      <c r="AU975" s="247">
        <v>6.4</v>
      </c>
      <c r="AV975" s="247">
        <v>85</v>
      </c>
      <c r="AW975" s="247">
        <v>81</v>
      </c>
      <c r="AX975" s="247">
        <v>736</v>
      </c>
      <c r="AY975" s="247">
        <v>148</v>
      </c>
      <c r="AZ975" s="247" t="s">
        <v>973</v>
      </c>
      <c r="BA975" s="248" t="s">
        <v>934</v>
      </c>
      <c r="BB975" s="235">
        <v>257</v>
      </c>
      <c r="BC975" s="247" t="s">
        <v>433</v>
      </c>
      <c r="BD975" s="247">
        <v>1.5</v>
      </c>
      <c r="BE975" s="247">
        <v>1.7</v>
      </c>
      <c r="BF975" s="247">
        <v>2.7</v>
      </c>
      <c r="BG975" s="247">
        <v>4.5999999999999996</v>
      </c>
      <c r="BH975" s="247">
        <v>6.7</v>
      </c>
      <c r="BI975" s="247">
        <v>10</v>
      </c>
      <c r="BJ975" s="247">
        <v>13.9</v>
      </c>
      <c r="BK975" s="247">
        <v>15.1</v>
      </c>
      <c r="BL975" s="247">
        <v>11.6</v>
      </c>
      <c r="BM975" s="247">
        <v>6.8</v>
      </c>
      <c r="BN975" s="247">
        <v>3.5</v>
      </c>
      <c r="BO975" s="247">
        <v>2.1</v>
      </c>
      <c r="BP975" s="248">
        <v>6.7</v>
      </c>
    </row>
    <row r="976" spans="1:68" ht="14.25" customHeight="1">
      <c r="A976" s="233">
        <v>319</v>
      </c>
      <c r="B976" s="234">
        <v>96</v>
      </c>
      <c r="C976" s="244" t="s">
        <v>928</v>
      </c>
      <c r="D976" s="244" t="s">
        <v>1001</v>
      </c>
      <c r="E976" s="244" t="s">
        <v>1900</v>
      </c>
      <c r="F976" s="245">
        <v>-28.9</v>
      </c>
      <c r="G976" s="245">
        <v>-23.9</v>
      </c>
      <c r="H976" s="245">
        <v>-14.3</v>
      </c>
      <c r="I976" s="245">
        <v>-2.8</v>
      </c>
      <c r="J976" s="245">
        <v>5.9</v>
      </c>
      <c r="K976" s="245">
        <v>14.1</v>
      </c>
      <c r="L976" s="245">
        <v>17.899999999999999</v>
      </c>
      <c r="M976" s="245">
        <v>14.4</v>
      </c>
      <c r="N976" s="245">
        <v>6.8</v>
      </c>
      <c r="O976" s="245">
        <v>-2.1</v>
      </c>
      <c r="P976" s="245">
        <v>-17.399999999999999</v>
      </c>
      <c r="Q976" s="245">
        <v>-26.1</v>
      </c>
      <c r="R976" s="246">
        <v>-4.7</v>
      </c>
      <c r="S976" s="233">
        <v>96</v>
      </c>
      <c r="T976" s="247" t="s">
        <v>1901</v>
      </c>
      <c r="U976" s="245">
        <v>-50</v>
      </c>
      <c r="V976" s="245">
        <v>-49</v>
      </c>
      <c r="W976" s="245">
        <v>-48</v>
      </c>
      <c r="X976" s="245">
        <v>-46</v>
      </c>
      <c r="Y976" s="245">
        <v>-34</v>
      </c>
      <c r="Z976" s="245">
        <v>-56</v>
      </c>
      <c r="AA976" s="245">
        <v>7.4</v>
      </c>
      <c r="AB976" s="245">
        <v>198</v>
      </c>
      <c r="AC976" s="245">
        <v>-17.3</v>
      </c>
      <c r="AD976" s="245">
        <v>255</v>
      </c>
      <c r="AE976" s="245">
        <v>-12.6</v>
      </c>
      <c r="AF976" s="245">
        <v>271</v>
      </c>
      <c r="AG976" s="245">
        <v>-11.3</v>
      </c>
      <c r="AH976" s="245">
        <v>77</v>
      </c>
      <c r="AI976" s="245">
        <v>76</v>
      </c>
      <c r="AJ976" s="245">
        <v>179</v>
      </c>
      <c r="AK976" s="245" t="s">
        <v>990</v>
      </c>
      <c r="AL976" s="245" t="s">
        <v>931</v>
      </c>
      <c r="AM976" s="246">
        <v>2.7</v>
      </c>
      <c r="AN976" s="235">
        <v>96</v>
      </c>
      <c r="AO976" s="247" t="s">
        <v>1902</v>
      </c>
      <c r="AP976" s="247">
        <v>980</v>
      </c>
      <c r="AQ976" s="247">
        <v>23.4</v>
      </c>
      <c r="AR976" s="247">
        <v>27.5</v>
      </c>
      <c r="AS976" s="247">
        <v>25.8</v>
      </c>
      <c r="AT976" s="247">
        <v>39</v>
      </c>
      <c r="AU976" s="247">
        <v>14.4</v>
      </c>
      <c r="AV976" s="247">
        <v>74</v>
      </c>
      <c r="AW976" s="247">
        <v>53</v>
      </c>
      <c r="AX976" s="247">
        <v>412</v>
      </c>
      <c r="AY976" s="247" t="s">
        <v>965</v>
      </c>
      <c r="AZ976" s="247" t="s">
        <v>959</v>
      </c>
      <c r="BA976" s="248" t="s">
        <v>934</v>
      </c>
      <c r="BB976" s="235">
        <v>80</v>
      </c>
      <c r="BC976" s="247" t="s">
        <v>1900</v>
      </c>
      <c r="BD976" s="247">
        <v>0.7</v>
      </c>
      <c r="BE976" s="247">
        <v>0.9</v>
      </c>
      <c r="BF976" s="247">
        <v>1.6</v>
      </c>
      <c r="BG976" s="247">
        <v>3.5</v>
      </c>
      <c r="BH976" s="247">
        <v>5.8</v>
      </c>
      <c r="BI976" s="247">
        <v>10.8</v>
      </c>
      <c r="BJ976" s="247">
        <v>15.1</v>
      </c>
      <c r="BK976" s="247">
        <v>13.2</v>
      </c>
      <c r="BL976" s="247">
        <v>8</v>
      </c>
      <c r="BM976" s="247">
        <v>4.2</v>
      </c>
      <c r="BN976" s="247">
        <v>1.5</v>
      </c>
      <c r="BO976" s="247">
        <v>0.8</v>
      </c>
      <c r="BP976" s="248">
        <v>5.5</v>
      </c>
    </row>
    <row r="977" spans="1:68" ht="14.25" customHeight="1">
      <c r="A977" s="233">
        <v>320</v>
      </c>
      <c r="B977" s="234">
        <v>481</v>
      </c>
      <c r="C977" s="244" t="s">
        <v>1068</v>
      </c>
      <c r="D977" s="244" t="s">
        <v>1068</v>
      </c>
      <c r="E977" s="244" t="s">
        <v>1903</v>
      </c>
      <c r="F977" s="245">
        <v>-11.6</v>
      </c>
      <c r="G977" s="245">
        <v>-11.1</v>
      </c>
      <c r="H977" s="245">
        <v>-8.6999999999999993</v>
      </c>
      <c r="I977" s="245">
        <v>-3.4</v>
      </c>
      <c r="J977" s="245">
        <v>0.8</v>
      </c>
      <c r="K977" s="245">
        <v>4.2</v>
      </c>
      <c r="L977" s="245">
        <v>7.9</v>
      </c>
      <c r="M977" s="245">
        <v>7.6</v>
      </c>
      <c r="N977" s="245">
        <v>4.3</v>
      </c>
      <c r="O977" s="245">
        <v>-1</v>
      </c>
      <c r="P977" s="245">
        <v>-5.3</v>
      </c>
      <c r="Q977" s="245">
        <v>-9.4</v>
      </c>
      <c r="R977" s="246">
        <v>-2.1</v>
      </c>
      <c r="S977" s="233">
        <v>481</v>
      </c>
      <c r="T977" s="247" t="s">
        <v>1904</v>
      </c>
      <c r="U977" s="245">
        <v>-21</v>
      </c>
      <c r="V977" s="245">
        <v>-18</v>
      </c>
      <c r="W977" s="245">
        <v>-17</v>
      </c>
      <c r="X977" s="245">
        <v>-14</v>
      </c>
      <c r="Y977" s="245">
        <v>-5</v>
      </c>
      <c r="Z977" s="245">
        <v>-35</v>
      </c>
      <c r="AA977" s="245">
        <v>5.5</v>
      </c>
      <c r="AB977" s="245">
        <v>210</v>
      </c>
      <c r="AC977" s="245">
        <v>-7.2</v>
      </c>
      <c r="AD977" s="245">
        <v>365</v>
      </c>
      <c r="AE977" s="245">
        <v>-2.1</v>
      </c>
      <c r="AF977" s="245">
        <v>365</v>
      </c>
      <c r="AG977" s="245">
        <v>-2.1</v>
      </c>
      <c r="AH977" s="245" t="s">
        <v>956</v>
      </c>
      <c r="AI977" s="245">
        <v>81</v>
      </c>
      <c r="AJ977" s="245">
        <v>321</v>
      </c>
      <c r="AK977" s="245" t="s">
        <v>950</v>
      </c>
      <c r="AL977" s="245" t="s">
        <v>931</v>
      </c>
      <c r="AM977" s="246">
        <v>8</v>
      </c>
      <c r="AN977" s="235">
        <v>481</v>
      </c>
      <c r="AO977" s="247" t="s">
        <v>1905</v>
      </c>
      <c r="AP977" s="247">
        <v>720</v>
      </c>
      <c r="AQ977" s="247">
        <v>11</v>
      </c>
      <c r="AR977" s="247">
        <v>18</v>
      </c>
      <c r="AS977" s="247">
        <v>12.2</v>
      </c>
      <c r="AT977" s="247">
        <v>25</v>
      </c>
      <c r="AU977" s="247">
        <v>7.9</v>
      </c>
      <c r="AV977" s="247">
        <v>83</v>
      </c>
      <c r="AW977" s="247">
        <v>75</v>
      </c>
      <c r="AX977" s="247" t="s">
        <v>931</v>
      </c>
      <c r="AY977" s="247">
        <v>114</v>
      </c>
      <c r="AZ977" s="247" t="s">
        <v>952</v>
      </c>
      <c r="BA977" s="248">
        <v>2.5</v>
      </c>
      <c r="BB977" s="235"/>
      <c r="BC977" s="247" t="s">
        <v>1904</v>
      </c>
      <c r="BD977" s="247"/>
      <c r="BE977" s="247"/>
      <c r="BF977" s="247"/>
      <c r="BG977" s="247"/>
      <c r="BH977" s="247"/>
      <c r="BI977" s="247"/>
      <c r="BJ977" s="247"/>
      <c r="BK977" s="247"/>
      <c r="BL977" s="247"/>
      <c r="BM977" s="247"/>
      <c r="BN977" s="247"/>
      <c r="BO977" s="247"/>
      <c r="BP977" s="248"/>
    </row>
    <row r="978" spans="1:68" ht="14.25" customHeight="1">
      <c r="A978" s="233">
        <v>321</v>
      </c>
      <c r="B978" s="234">
        <v>263</v>
      </c>
      <c r="C978" s="244" t="s">
        <v>928</v>
      </c>
      <c r="D978" s="244" t="s">
        <v>941</v>
      </c>
      <c r="E978" s="244" t="s">
        <v>1906</v>
      </c>
      <c r="F978" s="245">
        <v>-12.7</v>
      </c>
      <c r="G978" s="245">
        <v>-9.9</v>
      </c>
      <c r="H978" s="245">
        <v>-3.2</v>
      </c>
      <c r="I978" s="245">
        <v>4</v>
      </c>
      <c r="J978" s="245">
        <v>9.1</v>
      </c>
      <c r="K978" s="245">
        <v>13</v>
      </c>
      <c r="L978" s="245">
        <v>17.600000000000001</v>
      </c>
      <c r="M978" s="245">
        <v>19.2</v>
      </c>
      <c r="N978" s="245">
        <v>14.1</v>
      </c>
      <c r="O978" s="245">
        <v>7</v>
      </c>
      <c r="P978" s="245">
        <v>-1.9</v>
      </c>
      <c r="Q978" s="245">
        <v>-10.1</v>
      </c>
      <c r="R978" s="246">
        <v>3.9</v>
      </c>
      <c r="S978" s="233">
        <v>263</v>
      </c>
      <c r="T978" s="247" t="s">
        <v>1907</v>
      </c>
      <c r="U978" s="245">
        <v>-26</v>
      </c>
      <c r="V978" s="245">
        <v>-25</v>
      </c>
      <c r="W978" s="245">
        <v>-22</v>
      </c>
      <c r="X978" s="245">
        <v>-21</v>
      </c>
      <c r="Y978" s="245">
        <v>-14</v>
      </c>
      <c r="Z978" s="245">
        <v>-36</v>
      </c>
      <c r="AA978" s="245">
        <v>14.7</v>
      </c>
      <c r="AB978" s="245">
        <v>144</v>
      </c>
      <c r="AC978" s="245">
        <v>-8</v>
      </c>
      <c r="AD978" s="245">
        <v>209</v>
      </c>
      <c r="AE978" s="245">
        <v>-4.0999999999999996</v>
      </c>
      <c r="AF978" s="245">
        <v>227</v>
      </c>
      <c r="AG978" s="245">
        <v>-3</v>
      </c>
      <c r="AH978" s="245">
        <v>58</v>
      </c>
      <c r="AI978" s="245">
        <v>52</v>
      </c>
      <c r="AJ978" s="245">
        <v>147</v>
      </c>
      <c r="AK978" s="245" t="s">
        <v>944</v>
      </c>
      <c r="AL978" s="245" t="s">
        <v>931</v>
      </c>
      <c r="AM978" s="246">
        <v>2</v>
      </c>
      <c r="AN978" s="235">
        <v>263</v>
      </c>
      <c r="AO978" s="247" t="s">
        <v>1908</v>
      </c>
      <c r="AP978" s="247">
        <v>1010</v>
      </c>
      <c r="AQ978" s="247">
        <v>23</v>
      </c>
      <c r="AR978" s="247">
        <v>27</v>
      </c>
      <c r="AS978" s="247">
        <v>24.2</v>
      </c>
      <c r="AT978" s="247">
        <v>40</v>
      </c>
      <c r="AU978" s="247">
        <v>10.1</v>
      </c>
      <c r="AV978" s="247">
        <v>87</v>
      </c>
      <c r="AW978" s="247">
        <v>79</v>
      </c>
      <c r="AX978" s="247">
        <v>677</v>
      </c>
      <c r="AY978" s="247">
        <v>167</v>
      </c>
      <c r="AZ978" s="247" t="s">
        <v>946</v>
      </c>
      <c r="BA978" s="248" t="s">
        <v>934</v>
      </c>
      <c r="BB978" s="235">
        <v>234</v>
      </c>
      <c r="BC978" s="247" t="s">
        <v>1906</v>
      </c>
      <c r="BD978" s="247">
        <v>1.4</v>
      </c>
      <c r="BE978" s="247">
        <v>1.8</v>
      </c>
      <c r="BF978" s="247">
        <v>3.1</v>
      </c>
      <c r="BG978" s="247">
        <v>5.2</v>
      </c>
      <c r="BH978" s="247">
        <v>8.1999999999999993</v>
      </c>
      <c r="BI978" s="247">
        <v>12.9</v>
      </c>
      <c r="BJ978" s="247">
        <v>17.7</v>
      </c>
      <c r="BK978" s="247">
        <v>19.2</v>
      </c>
      <c r="BL978" s="247">
        <v>13.1</v>
      </c>
      <c r="BM978" s="247">
        <v>7.1</v>
      </c>
      <c r="BN978" s="247">
        <v>3.5</v>
      </c>
      <c r="BO978" s="247">
        <v>1.8</v>
      </c>
      <c r="BP978" s="248">
        <v>7.9</v>
      </c>
    </row>
    <row r="979" spans="1:68" ht="14.25" customHeight="1">
      <c r="A979" s="233">
        <v>322</v>
      </c>
      <c r="B979" s="234">
        <v>142</v>
      </c>
      <c r="C979" s="244" t="s">
        <v>928</v>
      </c>
      <c r="D979" s="244" t="s">
        <v>1677</v>
      </c>
      <c r="E979" s="244" t="s">
        <v>188</v>
      </c>
      <c r="F979" s="245">
        <v>-17.8</v>
      </c>
      <c r="G979" s="245">
        <v>-16.2</v>
      </c>
      <c r="H979" s="245">
        <v>-9.3000000000000007</v>
      </c>
      <c r="I979" s="245">
        <v>0.8</v>
      </c>
      <c r="J979" s="245">
        <v>9</v>
      </c>
      <c r="K979" s="245">
        <v>15.9</v>
      </c>
      <c r="L979" s="245">
        <v>18.3</v>
      </c>
      <c r="M979" s="245">
        <v>15.2</v>
      </c>
      <c r="N979" s="245">
        <v>9.1</v>
      </c>
      <c r="O979" s="245">
        <v>1</v>
      </c>
      <c r="P979" s="245">
        <v>-9.1</v>
      </c>
      <c r="Q979" s="245">
        <v>-16.2</v>
      </c>
      <c r="R979" s="246">
        <v>0.1</v>
      </c>
      <c r="S979" s="233">
        <v>142</v>
      </c>
      <c r="T979" s="247" t="s">
        <v>1909</v>
      </c>
      <c r="U979" s="245">
        <v>-47</v>
      </c>
      <c r="V979" s="245">
        <v>-43</v>
      </c>
      <c r="W979" s="245">
        <v>-44</v>
      </c>
      <c r="X979" s="245">
        <v>-40</v>
      </c>
      <c r="Y979" s="245">
        <v>-23</v>
      </c>
      <c r="Z979" s="245">
        <v>-55</v>
      </c>
      <c r="AA979" s="245">
        <v>9.5</v>
      </c>
      <c r="AB979" s="245">
        <v>176</v>
      </c>
      <c r="AC979" s="245">
        <v>-11.6</v>
      </c>
      <c r="AD979" s="245">
        <v>235</v>
      </c>
      <c r="AE979" s="245">
        <v>-7.7</v>
      </c>
      <c r="AF979" s="245">
        <v>251</v>
      </c>
      <c r="AG979" s="245">
        <v>-6.6</v>
      </c>
      <c r="AH979" s="245">
        <v>80</v>
      </c>
      <c r="AI979" s="245">
        <v>77</v>
      </c>
      <c r="AJ979" s="245">
        <v>99</v>
      </c>
      <c r="AK979" s="245" t="s">
        <v>971</v>
      </c>
      <c r="AL979" s="245">
        <v>5.7</v>
      </c>
      <c r="AM979" s="246" t="s">
        <v>931</v>
      </c>
      <c r="AN979" s="235">
        <v>142</v>
      </c>
      <c r="AO979" s="247" t="s">
        <v>1910</v>
      </c>
      <c r="AP979" s="247">
        <v>995</v>
      </c>
      <c r="AQ979" s="247">
        <v>22.1</v>
      </c>
      <c r="AR979" s="247">
        <v>26.2</v>
      </c>
      <c r="AS979" s="247">
        <v>24.5</v>
      </c>
      <c r="AT979" s="247">
        <v>37</v>
      </c>
      <c r="AU979" s="247">
        <v>12.4</v>
      </c>
      <c r="AV979" s="247">
        <v>74</v>
      </c>
      <c r="AW979" s="247">
        <v>57</v>
      </c>
      <c r="AX979" s="247">
        <v>346</v>
      </c>
      <c r="AY979" s="247">
        <v>69</v>
      </c>
      <c r="AZ979" s="247" t="s">
        <v>978</v>
      </c>
      <c r="BA979" s="248">
        <v>0</v>
      </c>
      <c r="BB979" s="235">
        <v>125</v>
      </c>
      <c r="BC979" s="247" t="s">
        <v>188</v>
      </c>
      <c r="BD979" s="247">
        <v>1.5</v>
      </c>
      <c r="BE979" s="247">
        <v>1.6</v>
      </c>
      <c r="BF979" s="247">
        <v>2.6</v>
      </c>
      <c r="BG979" s="247">
        <v>4.5999999999999996</v>
      </c>
      <c r="BH979" s="247">
        <v>7</v>
      </c>
      <c r="BI979" s="247">
        <v>12</v>
      </c>
      <c r="BJ979" s="247">
        <v>15.3</v>
      </c>
      <c r="BK979" s="247">
        <v>13.3</v>
      </c>
      <c r="BL979" s="247">
        <v>8.9</v>
      </c>
      <c r="BM979" s="247">
        <v>5.2</v>
      </c>
      <c r="BN979" s="247">
        <v>2.8</v>
      </c>
      <c r="BO979" s="247">
        <v>1.8</v>
      </c>
      <c r="BP979" s="248">
        <v>6.4</v>
      </c>
    </row>
    <row r="980" spans="1:68" ht="14.25" customHeight="1">
      <c r="A980" s="233">
        <v>323</v>
      </c>
      <c r="B980" s="234">
        <v>97</v>
      </c>
      <c r="C980" s="244" t="s">
        <v>928</v>
      </c>
      <c r="D980" s="244" t="s">
        <v>1001</v>
      </c>
      <c r="E980" s="244" t="s">
        <v>1911</v>
      </c>
      <c r="F980" s="245">
        <v>-27.8</v>
      </c>
      <c r="G980" s="245">
        <v>-23.3</v>
      </c>
      <c r="H980" s="245">
        <v>-13.7</v>
      </c>
      <c r="I980" s="245">
        <v>-1.8</v>
      </c>
      <c r="J980" s="245">
        <v>7.1</v>
      </c>
      <c r="K980" s="245">
        <v>15.2</v>
      </c>
      <c r="L980" s="245">
        <v>18</v>
      </c>
      <c r="M980" s="245">
        <v>14.7</v>
      </c>
      <c r="N980" s="245">
        <v>7.1</v>
      </c>
      <c r="O980" s="245">
        <v>-2</v>
      </c>
      <c r="P980" s="245">
        <v>-15.8</v>
      </c>
      <c r="Q980" s="245">
        <v>-26</v>
      </c>
      <c r="R980" s="246">
        <v>-4</v>
      </c>
      <c r="S980" s="233">
        <v>97</v>
      </c>
      <c r="T980" s="247" t="s">
        <v>1912</v>
      </c>
      <c r="U980" s="245">
        <v>-53</v>
      </c>
      <c r="V980" s="245">
        <v>-51</v>
      </c>
      <c r="W980" s="245">
        <v>-51</v>
      </c>
      <c r="X980" s="245">
        <v>-49</v>
      </c>
      <c r="Y980" s="245">
        <v>-33</v>
      </c>
      <c r="Z980" s="245">
        <v>-55</v>
      </c>
      <c r="AA980" s="245">
        <v>11.1</v>
      </c>
      <c r="AB980" s="245">
        <v>194</v>
      </c>
      <c r="AC980" s="245">
        <v>-16.899999999999999</v>
      </c>
      <c r="AD980" s="245">
        <v>250</v>
      </c>
      <c r="AE980" s="245">
        <v>-12.3</v>
      </c>
      <c r="AF980" s="245">
        <v>265</v>
      </c>
      <c r="AG980" s="245">
        <v>-11</v>
      </c>
      <c r="AH980" s="245">
        <v>78</v>
      </c>
      <c r="AI980" s="245">
        <v>76</v>
      </c>
      <c r="AJ980" s="245">
        <v>117</v>
      </c>
      <c r="AK980" s="245" t="s">
        <v>950</v>
      </c>
      <c r="AL980" s="245">
        <v>4.2</v>
      </c>
      <c r="AM980" s="246">
        <v>1.8</v>
      </c>
      <c r="AN980" s="235">
        <v>97</v>
      </c>
      <c r="AO980" s="247" t="s">
        <v>1913</v>
      </c>
      <c r="AP980" s="247">
        <v>975</v>
      </c>
      <c r="AQ980" s="247">
        <v>23.2</v>
      </c>
      <c r="AR980" s="247">
        <v>27.3</v>
      </c>
      <c r="AS980" s="247">
        <v>25.6</v>
      </c>
      <c r="AT980" s="247">
        <v>37</v>
      </c>
      <c r="AU980" s="247">
        <v>14.6</v>
      </c>
      <c r="AV980" s="247">
        <v>74</v>
      </c>
      <c r="AW980" s="247">
        <v>54</v>
      </c>
      <c r="AX980" s="247">
        <v>316</v>
      </c>
      <c r="AY980" s="247" t="s">
        <v>965</v>
      </c>
      <c r="AZ980" s="247" t="s">
        <v>952</v>
      </c>
      <c r="BA980" s="248">
        <v>0</v>
      </c>
      <c r="BB980" s="235">
        <v>81</v>
      </c>
      <c r="BC980" s="247" t="s">
        <v>1911</v>
      </c>
      <c r="BD980" s="247">
        <v>0.7</v>
      </c>
      <c r="BE980" s="247">
        <v>0.9</v>
      </c>
      <c r="BF980" s="247">
        <v>1.7</v>
      </c>
      <c r="BG980" s="247">
        <v>3.6</v>
      </c>
      <c r="BH980" s="247">
        <v>5.6</v>
      </c>
      <c r="BI980" s="247">
        <v>10.8</v>
      </c>
      <c r="BJ980" s="247">
        <v>14.6</v>
      </c>
      <c r="BK980" s="247">
        <v>12.7</v>
      </c>
      <c r="BL980" s="247">
        <v>7.8</v>
      </c>
      <c r="BM980" s="247">
        <v>4.5</v>
      </c>
      <c r="BN980" s="247">
        <v>1.7</v>
      </c>
      <c r="BO980" s="247">
        <v>1</v>
      </c>
      <c r="BP980" s="248">
        <v>5.5</v>
      </c>
    </row>
    <row r="981" spans="1:68" ht="14.25" customHeight="1">
      <c r="A981" s="233">
        <v>324</v>
      </c>
      <c r="B981" s="234">
        <v>395</v>
      </c>
      <c r="C981" s="244" t="s">
        <v>928</v>
      </c>
      <c r="D981" s="244" t="s">
        <v>1011</v>
      </c>
      <c r="E981" s="244" t="s">
        <v>1911</v>
      </c>
      <c r="F981" s="245">
        <v>-25.8</v>
      </c>
      <c r="G981" s="245">
        <v>-25.4</v>
      </c>
      <c r="H981" s="245">
        <v>-23</v>
      </c>
      <c r="I981" s="245">
        <v>-14.3</v>
      </c>
      <c r="J981" s="245">
        <v>-1.5</v>
      </c>
      <c r="K981" s="245">
        <v>10.5</v>
      </c>
      <c r="L981" s="245">
        <v>13.7</v>
      </c>
      <c r="M981" s="245">
        <v>10.5</v>
      </c>
      <c r="N981" s="245">
        <v>3.5</v>
      </c>
      <c r="O981" s="245">
        <v>-8.9</v>
      </c>
      <c r="P981" s="245">
        <v>-19.5</v>
      </c>
      <c r="Q981" s="245">
        <v>-25.6</v>
      </c>
      <c r="R981" s="246">
        <v>-8.8000000000000007</v>
      </c>
      <c r="S981" s="233">
        <v>395</v>
      </c>
      <c r="T981" s="247" t="s">
        <v>1912</v>
      </c>
      <c r="U981" s="245">
        <v>-52</v>
      </c>
      <c r="V981" s="245">
        <v>-50</v>
      </c>
      <c r="W981" s="245">
        <v>-51</v>
      </c>
      <c r="X981" s="245">
        <v>-48</v>
      </c>
      <c r="Y981" s="245">
        <v>-31</v>
      </c>
      <c r="Z981" s="245">
        <v>-60</v>
      </c>
      <c r="AA981" s="245">
        <v>11</v>
      </c>
      <c r="AB981" s="245">
        <v>238</v>
      </c>
      <c r="AC981" s="245">
        <v>-18.100000000000001</v>
      </c>
      <c r="AD981" s="245">
        <v>286</v>
      </c>
      <c r="AE981" s="245">
        <v>-14.3</v>
      </c>
      <c r="AF981" s="245">
        <v>300</v>
      </c>
      <c r="AG981" s="245">
        <v>-13.2</v>
      </c>
      <c r="AH981" s="245">
        <v>79</v>
      </c>
      <c r="AI981" s="245">
        <v>77</v>
      </c>
      <c r="AJ981" s="245">
        <v>103</v>
      </c>
      <c r="AK981" s="245" t="s">
        <v>996</v>
      </c>
      <c r="AL981" s="245">
        <v>6</v>
      </c>
      <c r="AM981" s="246">
        <v>2.2999999999999998</v>
      </c>
      <c r="AN981" s="235">
        <v>395</v>
      </c>
      <c r="AO981" s="247" t="s">
        <v>1913</v>
      </c>
      <c r="AP981" s="247">
        <v>1010</v>
      </c>
      <c r="AQ981" s="247">
        <v>17</v>
      </c>
      <c r="AR981" s="247">
        <v>21.7</v>
      </c>
      <c r="AS981" s="247">
        <v>19.2</v>
      </c>
      <c r="AT981" s="247">
        <v>33</v>
      </c>
      <c r="AU981" s="247">
        <v>11.1</v>
      </c>
      <c r="AV981" s="247">
        <v>73</v>
      </c>
      <c r="AW981" s="247">
        <v>70</v>
      </c>
      <c r="AX981" s="247">
        <v>229</v>
      </c>
      <c r="AY981" s="247">
        <v>44</v>
      </c>
      <c r="AZ981" s="247" t="s">
        <v>940</v>
      </c>
      <c r="BA981" s="248">
        <v>0</v>
      </c>
      <c r="BB981" s="235">
        <v>359</v>
      </c>
      <c r="BC981" s="247" t="s">
        <v>1911</v>
      </c>
      <c r="BD981" s="247">
        <v>1.2</v>
      </c>
      <c r="BE981" s="247">
        <v>0.9</v>
      </c>
      <c r="BF981" s="247">
        <v>1</v>
      </c>
      <c r="BG981" s="247">
        <v>1.9</v>
      </c>
      <c r="BH981" s="247">
        <v>4.5999999999999996</v>
      </c>
      <c r="BI981" s="247">
        <v>8.3000000000000007</v>
      </c>
      <c r="BJ981" s="247">
        <v>11</v>
      </c>
      <c r="BK981" s="247">
        <v>9.9</v>
      </c>
      <c r="BL981" s="247">
        <v>6.3</v>
      </c>
      <c r="BM981" s="247">
        <v>2.8</v>
      </c>
      <c r="BN981" s="247">
        <v>1.4</v>
      </c>
      <c r="BO981" s="247">
        <v>1</v>
      </c>
      <c r="BP981" s="248">
        <v>4.2</v>
      </c>
    </row>
    <row r="982" spans="1:68" ht="14.25" customHeight="1">
      <c r="A982" s="233">
        <v>325</v>
      </c>
      <c r="B982" s="234">
        <v>328</v>
      </c>
      <c r="C982" s="244" t="s">
        <v>928</v>
      </c>
      <c r="D982" s="244" t="s">
        <v>1161</v>
      </c>
      <c r="E982" s="244" t="s">
        <v>1914</v>
      </c>
      <c r="F982" s="245">
        <v>-21.8</v>
      </c>
      <c r="G982" s="245">
        <v>-21.4</v>
      </c>
      <c r="H982" s="245">
        <v>-20.3</v>
      </c>
      <c r="I982" s="245">
        <v>-13</v>
      </c>
      <c r="J982" s="245">
        <v>-5.5</v>
      </c>
      <c r="K982" s="245">
        <v>1.2</v>
      </c>
      <c r="L982" s="245">
        <v>6.6</v>
      </c>
      <c r="M982" s="245">
        <v>6.7</v>
      </c>
      <c r="N982" s="245">
        <v>3.2</v>
      </c>
      <c r="O982" s="245">
        <v>-4</v>
      </c>
      <c r="P982" s="245">
        <v>-13.1</v>
      </c>
      <c r="Q982" s="245">
        <v>-18.399999999999999</v>
      </c>
      <c r="R982" s="246">
        <v>-8.3000000000000007</v>
      </c>
      <c r="S982" s="233">
        <v>328</v>
      </c>
      <c r="T982" s="247" t="s">
        <v>1915</v>
      </c>
      <c r="U982" s="245">
        <v>-45</v>
      </c>
      <c r="V982" s="245">
        <v>-44</v>
      </c>
      <c r="W982" s="245">
        <v>-41</v>
      </c>
      <c r="X982" s="245">
        <v>-39</v>
      </c>
      <c r="Y982" s="245">
        <v>-26</v>
      </c>
      <c r="Z982" s="245">
        <v>-50</v>
      </c>
      <c r="AA982" s="245">
        <v>6.8</v>
      </c>
      <c r="AB982" s="245">
        <v>252</v>
      </c>
      <c r="AC982" s="245">
        <v>-13.6</v>
      </c>
      <c r="AD982" s="245">
        <v>365</v>
      </c>
      <c r="AE982" s="245">
        <v>-8.1</v>
      </c>
      <c r="AF982" s="245">
        <v>365</v>
      </c>
      <c r="AG982" s="245">
        <v>-8.1</v>
      </c>
      <c r="AH982" s="245">
        <v>86</v>
      </c>
      <c r="AI982" s="245">
        <v>86</v>
      </c>
      <c r="AJ982" s="245" t="s">
        <v>1018</v>
      </c>
      <c r="AK982" s="245" t="s">
        <v>971</v>
      </c>
      <c r="AL982" s="245" t="s">
        <v>931</v>
      </c>
      <c r="AM982" s="246">
        <v>7</v>
      </c>
      <c r="AN982" s="235">
        <v>328</v>
      </c>
      <c r="AO982" s="247" t="s">
        <v>1916</v>
      </c>
      <c r="AP982" s="247">
        <v>1010</v>
      </c>
      <c r="AQ982" s="247">
        <v>8.8000000000000007</v>
      </c>
      <c r="AR982" s="247">
        <v>13.6</v>
      </c>
      <c r="AS982" s="247">
        <v>11.2</v>
      </c>
      <c r="AT982" s="247">
        <v>28</v>
      </c>
      <c r="AU982" s="247">
        <v>7.6</v>
      </c>
      <c r="AV982" s="247">
        <v>87</v>
      </c>
      <c r="AW982" s="247">
        <v>85</v>
      </c>
      <c r="AX982" s="247" t="s">
        <v>931</v>
      </c>
      <c r="AY982" s="247" t="s">
        <v>965</v>
      </c>
      <c r="AZ982" s="247" t="s">
        <v>959</v>
      </c>
      <c r="BA982" s="248" t="s">
        <v>934</v>
      </c>
      <c r="BB982" s="235">
        <v>296</v>
      </c>
      <c r="BC982" s="247" t="s">
        <v>1914</v>
      </c>
      <c r="BD982" s="247">
        <v>1.5</v>
      </c>
      <c r="BE982" s="247">
        <v>1.2</v>
      </c>
      <c r="BF982" s="247">
        <v>1.4</v>
      </c>
      <c r="BG982" s="247">
        <v>2.6</v>
      </c>
      <c r="BH982" s="247">
        <v>4</v>
      </c>
      <c r="BI982" s="247">
        <v>6.4</v>
      </c>
      <c r="BJ982" s="247">
        <v>8.8000000000000007</v>
      </c>
      <c r="BK982" s="247">
        <v>9.1999999999999993</v>
      </c>
      <c r="BL982" s="247">
        <v>7.2</v>
      </c>
      <c r="BM982" s="247">
        <v>4.5999999999999996</v>
      </c>
      <c r="BN982" s="247">
        <v>2.7</v>
      </c>
      <c r="BO982" s="247">
        <v>1.9</v>
      </c>
      <c r="BP982" s="248">
        <v>4.3</v>
      </c>
    </row>
    <row r="983" spans="1:68" ht="14.25" customHeight="1">
      <c r="A983" s="233">
        <v>326</v>
      </c>
      <c r="B983" s="234">
        <v>564</v>
      </c>
      <c r="C983" s="249" t="s">
        <v>1074</v>
      </c>
      <c r="D983" s="249" t="s">
        <v>1102</v>
      </c>
      <c r="E983" s="244" t="s">
        <v>1917</v>
      </c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6"/>
      <c r="S983" s="250">
        <v>564</v>
      </c>
      <c r="T983" s="247" t="s">
        <v>1917</v>
      </c>
      <c r="U983" s="245">
        <v>-18</v>
      </c>
      <c r="V983" s="245">
        <v>-15</v>
      </c>
      <c r="W983" s="245">
        <v>-15</v>
      </c>
      <c r="X983" s="245">
        <v>-12</v>
      </c>
      <c r="Y983" s="245">
        <v>-4</v>
      </c>
      <c r="Z983" s="245">
        <v>-25</v>
      </c>
      <c r="AA983" s="245">
        <v>10.3</v>
      </c>
      <c r="AB983" s="245">
        <v>0</v>
      </c>
      <c r="AC983" s="245" t="s">
        <v>830</v>
      </c>
      <c r="AD983" s="245">
        <v>101</v>
      </c>
      <c r="AE983" s="245">
        <v>4</v>
      </c>
      <c r="AF983" s="245">
        <v>122</v>
      </c>
      <c r="AG983" s="245">
        <v>4.8</v>
      </c>
      <c r="AH983" s="245" t="s">
        <v>956</v>
      </c>
      <c r="AI983" s="245">
        <v>62</v>
      </c>
      <c r="AJ983" s="245">
        <v>99</v>
      </c>
      <c r="AK983" s="245" t="s">
        <v>982</v>
      </c>
      <c r="AL983" s="245">
        <v>5</v>
      </c>
      <c r="AM983" s="246" t="s">
        <v>931</v>
      </c>
      <c r="AN983" s="235">
        <v>565</v>
      </c>
      <c r="AO983" s="247" t="s">
        <v>1918</v>
      </c>
      <c r="AP983" s="247">
        <v>990</v>
      </c>
      <c r="AQ983" s="247">
        <v>41</v>
      </c>
      <c r="AR983" s="247">
        <v>36</v>
      </c>
      <c r="AS983" s="247">
        <v>38.799999999999997</v>
      </c>
      <c r="AT983" s="247">
        <v>46</v>
      </c>
      <c r="AU983" s="247">
        <v>16.8</v>
      </c>
      <c r="AV983" s="247">
        <v>29</v>
      </c>
      <c r="AW983" s="247">
        <v>15</v>
      </c>
      <c r="AX983" s="247">
        <v>47</v>
      </c>
      <c r="AY983" s="247">
        <v>65</v>
      </c>
      <c r="AZ983" s="247" t="s">
        <v>1005</v>
      </c>
      <c r="BA983" s="248">
        <v>2.2999999999999998</v>
      </c>
      <c r="BB983" s="235"/>
      <c r="BC983" s="247" t="s">
        <v>1917</v>
      </c>
      <c r="BD983" s="247"/>
      <c r="BE983" s="247"/>
      <c r="BF983" s="247"/>
      <c r="BG983" s="247"/>
      <c r="BH983" s="247"/>
      <c r="BI983" s="247"/>
      <c r="BJ983" s="247"/>
      <c r="BK983" s="247"/>
      <c r="BL983" s="247"/>
      <c r="BM983" s="247"/>
      <c r="BN983" s="247"/>
      <c r="BO983" s="247"/>
      <c r="BP983" s="248"/>
    </row>
    <row r="984" spans="1:68" ht="14.25" customHeight="1">
      <c r="A984" s="233">
        <v>327</v>
      </c>
      <c r="B984" s="234">
        <v>79</v>
      </c>
      <c r="C984" s="244" t="s">
        <v>928</v>
      </c>
      <c r="D984" s="244" t="s">
        <v>1427</v>
      </c>
      <c r="E984" s="244" t="s">
        <v>1919</v>
      </c>
      <c r="F984" s="245">
        <v>-0.5</v>
      </c>
      <c r="G984" s="245">
        <v>0.2</v>
      </c>
      <c r="H984" s="245">
        <v>3.5</v>
      </c>
      <c r="I984" s="245">
        <v>9.4</v>
      </c>
      <c r="J984" s="245">
        <v>16.3</v>
      </c>
      <c r="K984" s="245">
        <v>21.5</v>
      </c>
      <c r="L984" s="245">
        <v>24.6</v>
      </c>
      <c r="M984" s="245">
        <v>24.1</v>
      </c>
      <c r="N984" s="245">
        <v>19.399999999999999</v>
      </c>
      <c r="O984" s="245">
        <v>13.4</v>
      </c>
      <c r="P984" s="245">
        <v>7.2</v>
      </c>
      <c r="Q984" s="245">
        <v>2.6</v>
      </c>
      <c r="R984" s="246">
        <v>11.8</v>
      </c>
      <c r="S984" s="233">
        <v>79</v>
      </c>
      <c r="T984" s="247" t="s">
        <v>1920</v>
      </c>
      <c r="U984" s="245">
        <v>-21</v>
      </c>
      <c r="V984" s="245">
        <v>-19</v>
      </c>
      <c r="W984" s="245">
        <v>-17</v>
      </c>
      <c r="X984" s="245">
        <v>-14</v>
      </c>
      <c r="Y984" s="245">
        <v>-5</v>
      </c>
      <c r="Z984" s="245">
        <v>-25</v>
      </c>
      <c r="AA984" s="245">
        <v>5.7</v>
      </c>
      <c r="AB984" s="245">
        <v>37</v>
      </c>
      <c r="AC984" s="245">
        <v>-0.4</v>
      </c>
      <c r="AD984" s="245">
        <v>148</v>
      </c>
      <c r="AE984" s="245">
        <v>2.7</v>
      </c>
      <c r="AF984" s="245">
        <v>167</v>
      </c>
      <c r="AG984" s="245">
        <v>3.4</v>
      </c>
      <c r="AH984" s="245">
        <v>83</v>
      </c>
      <c r="AI984" s="245">
        <v>79</v>
      </c>
      <c r="AJ984" s="245">
        <v>185</v>
      </c>
      <c r="AK984" s="245" t="s">
        <v>944</v>
      </c>
      <c r="AL984" s="245">
        <v>8.5</v>
      </c>
      <c r="AM984" s="246">
        <v>5.8</v>
      </c>
      <c r="AN984" s="235">
        <v>79</v>
      </c>
      <c r="AO984" s="247" t="s">
        <v>1921</v>
      </c>
      <c r="AP984" s="247">
        <v>1015</v>
      </c>
      <c r="AQ984" s="247">
        <v>26.2</v>
      </c>
      <c r="AR984" s="247">
        <v>29</v>
      </c>
      <c r="AS984" s="247">
        <v>28.6</v>
      </c>
      <c r="AT984" s="247">
        <v>38</v>
      </c>
      <c r="AU984" s="247">
        <v>7.8</v>
      </c>
      <c r="AV984" s="247">
        <v>64</v>
      </c>
      <c r="AW984" s="247">
        <v>60</v>
      </c>
      <c r="AX984" s="247">
        <v>246</v>
      </c>
      <c r="AY984" s="247">
        <v>104</v>
      </c>
      <c r="AZ984" s="247" t="s">
        <v>946</v>
      </c>
      <c r="BA984" s="248">
        <v>4.9000000000000004</v>
      </c>
      <c r="BB984" s="235">
        <v>64</v>
      </c>
      <c r="BC984" s="247" t="s">
        <v>1919</v>
      </c>
      <c r="BD984" s="247">
        <v>5.3</v>
      </c>
      <c r="BE984" s="247">
        <v>5.5</v>
      </c>
      <c r="BF984" s="247">
        <v>6.6</v>
      </c>
      <c r="BG984" s="247">
        <v>9.1999999999999993</v>
      </c>
      <c r="BH984" s="247">
        <v>13.2</v>
      </c>
      <c r="BI984" s="247">
        <v>16.600000000000001</v>
      </c>
      <c r="BJ984" s="247">
        <v>19.8</v>
      </c>
      <c r="BK984" s="247">
        <v>20</v>
      </c>
      <c r="BL984" s="247">
        <v>16.3</v>
      </c>
      <c r="BM984" s="247">
        <v>11.9</v>
      </c>
      <c r="BN984" s="247">
        <v>8.8000000000000007</v>
      </c>
      <c r="BO984" s="247">
        <v>6.5</v>
      </c>
      <c r="BP984" s="248">
        <v>11.6</v>
      </c>
    </row>
    <row r="985" spans="1:68" ht="14.25" customHeight="1">
      <c r="A985" s="233">
        <v>328</v>
      </c>
      <c r="B985" s="234">
        <v>43</v>
      </c>
      <c r="C985" s="244" t="s">
        <v>928</v>
      </c>
      <c r="D985" s="244" t="s">
        <v>1043</v>
      </c>
      <c r="E985" s="244" t="s">
        <v>1922</v>
      </c>
      <c r="F985" s="245">
        <v>-14.3</v>
      </c>
      <c r="G985" s="245">
        <v>-13.7</v>
      </c>
      <c r="H985" s="245">
        <v>-9.5</v>
      </c>
      <c r="I985" s="245">
        <v>-2.6</v>
      </c>
      <c r="J985" s="245">
        <v>3.4</v>
      </c>
      <c r="K985" s="245">
        <v>9.9</v>
      </c>
      <c r="L985" s="245">
        <v>13.6</v>
      </c>
      <c r="M985" s="245">
        <v>11.9</v>
      </c>
      <c r="N985" s="245">
        <v>6.6</v>
      </c>
      <c r="O985" s="245">
        <v>-0.2</v>
      </c>
      <c r="P985" s="245">
        <v>-6.2</v>
      </c>
      <c r="Q985" s="245">
        <v>-11.4</v>
      </c>
      <c r="R985" s="246">
        <v>-1.1000000000000001</v>
      </c>
      <c r="S985" s="233">
        <v>43</v>
      </c>
      <c r="T985" s="247" t="s">
        <v>1923</v>
      </c>
      <c r="U985" s="245">
        <v>-40</v>
      </c>
      <c r="V985" s="245">
        <v>-39</v>
      </c>
      <c r="W985" s="245">
        <v>-36</v>
      </c>
      <c r="X985" s="245">
        <v>-35</v>
      </c>
      <c r="Y985" s="245">
        <v>-19</v>
      </c>
      <c r="Z985" s="245">
        <v>-49</v>
      </c>
      <c r="AA985" s="245">
        <v>7.8</v>
      </c>
      <c r="AB985" s="245">
        <v>196</v>
      </c>
      <c r="AC985" s="245">
        <v>-8.8000000000000007</v>
      </c>
      <c r="AD985" s="245">
        <v>272</v>
      </c>
      <c r="AE985" s="245">
        <v>-5.2</v>
      </c>
      <c r="AF985" s="245">
        <v>293</v>
      </c>
      <c r="AG985" s="245">
        <v>-4.2</v>
      </c>
      <c r="AH985" s="245">
        <v>86</v>
      </c>
      <c r="AI985" s="245">
        <v>86</v>
      </c>
      <c r="AJ985" s="245">
        <v>133</v>
      </c>
      <c r="AK985" s="245" t="s">
        <v>963</v>
      </c>
      <c r="AL985" s="245">
        <v>5.8</v>
      </c>
      <c r="AM985" s="246">
        <v>4.9000000000000004</v>
      </c>
      <c r="AN985" s="235">
        <v>43</v>
      </c>
      <c r="AO985" s="247" t="s">
        <v>1924</v>
      </c>
      <c r="AP985" s="247">
        <v>1010</v>
      </c>
      <c r="AQ985" s="247">
        <v>16.8</v>
      </c>
      <c r="AR985" s="247">
        <v>21.2</v>
      </c>
      <c r="AS985" s="247">
        <v>19.2</v>
      </c>
      <c r="AT985" s="247">
        <v>35</v>
      </c>
      <c r="AU985" s="247">
        <v>10.7</v>
      </c>
      <c r="AV985" s="247">
        <v>75</v>
      </c>
      <c r="AW985" s="247">
        <v>64</v>
      </c>
      <c r="AX985" s="247">
        <v>346</v>
      </c>
      <c r="AY985" s="247">
        <v>51</v>
      </c>
      <c r="AZ985" s="247" t="s">
        <v>1005</v>
      </c>
      <c r="BA985" s="248">
        <v>3.8</v>
      </c>
      <c r="BB985" s="235">
        <v>29</v>
      </c>
      <c r="BC985" s="247" t="s">
        <v>1922</v>
      </c>
      <c r="BD985" s="247">
        <v>2.2000000000000002</v>
      </c>
      <c r="BE985" s="247">
        <v>2.1</v>
      </c>
      <c r="BF985" s="247">
        <v>2.8</v>
      </c>
      <c r="BG985" s="247">
        <v>4.0999999999999996</v>
      </c>
      <c r="BH985" s="247">
        <v>5.8</v>
      </c>
      <c r="BI985" s="247">
        <v>9.1</v>
      </c>
      <c r="BJ985" s="247">
        <v>11.9</v>
      </c>
      <c r="BK985" s="247">
        <v>11.6</v>
      </c>
      <c r="BL985" s="247">
        <v>8.6999999999999993</v>
      </c>
      <c r="BM985" s="247">
        <v>5.7</v>
      </c>
      <c r="BN985" s="247">
        <v>4</v>
      </c>
      <c r="BO985" s="247">
        <v>2.9</v>
      </c>
      <c r="BP985" s="248">
        <v>5.9</v>
      </c>
    </row>
    <row r="986" spans="1:68" ht="14.25" customHeight="1">
      <c r="A986" s="233">
        <v>329</v>
      </c>
      <c r="B986" s="234">
        <v>49</v>
      </c>
      <c r="C986" s="244" t="s">
        <v>928</v>
      </c>
      <c r="D986" s="244" t="s">
        <v>1149</v>
      </c>
      <c r="E986" s="244" t="s">
        <v>1925</v>
      </c>
      <c r="F986" s="245">
        <v>-15.5</v>
      </c>
      <c r="G986" s="245">
        <v>-14.4</v>
      </c>
      <c r="H986" s="245">
        <v>-7.5</v>
      </c>
      <c r="I986" s="245">
        <v>4.5999999999999996</v>
      </c>
      <c r="J986" s="245">
        <v>13.6</v>
      </c>
      <c r="K986" s="245">
        <v>17.8</v>
      </c>
      <c r="L986" s="245">
        <v>19.600000000000001</v>
      </c>
      <c r="M986" s="245">
        <v>17.899999999999999</v>
      </c>
      <c r="N986" s="245">
        <v>11.7</v>
      </c>
      <c r="O986" s="245">
        <v>3.2</v>
      </c>
      <c r="P986" s="245">
        <v>-5.0999999999999996</v>
      </c>
      <c r="Q986" s="245">
        <v>-11.8</v>
      </c>
      <c r="R986" s="246">
        <v>2.8</v>
      </c>
      <c r="S986" s="233">
        <v>49</v>
      </c>
      <c r="T986" s="247" t="s">
        <v>1926</v>
      </c>
      <c r="U986" s="245">
        <v>-42</v>
      </c>
      <c r="V986" s="245">
        <v>-39</v>
      </c>
      <c r="W986" s="245">
        <v>-38</v>
      </c>
      <c r="X986" s="245">
        <v>-35</v>
      </c>
      <c r="Y986" s="245">
        <v>-20</v>
      </c>
      <c r="Z986" s="245">
        <v>-45</v>
      </c>
      <c r="AA986" s="245">
        <v>8.9</v>
      </c>
      <c r="AB986" s="245">
        <v>158</v>
      </c>
      <c r="AC986" s="245">
        <v>-9.9</v>
      </c>
      <c r="AD986" s="245">
        <v>210</v>
      </c>
      <c r="AE986" s="245">
        <v>-6.4</v>
      </c>
      <c r="AF986" s="245">
        <v>224</v>
      </c>
      <c r="AG986" s="245">
        <v>-5.4</v>
      </c>
      <c r="AH986" s="245">
        <v>80</v>
      </c>
      <c r="AI986" s="245">
        <v>78</v>
      </c>
      <c r="AJ986" s="245">
        <v>151</v>
      </c>
      <c r="AK986" s="245" t="s">
        <v>963</v>
      </c>
      <c r="AL986" s="245">
        <v>5</v>
      </c>
      <c r="AM986" s="246">
        <v>3.4</v>
      </c>
      <c r="AN986" s="235">
        <v>49</v>
      </c>
      <c r="AO986" s="247" t="s">
        <v>1927</v>
      </c>
      <c r="AP986" s="247">
        <v>990</v>
      </c>
      <c r="AQ986" s="247">
        <v>23.8</v>
      </c>
      <c r="AR986" s="247">
        <v>27.9</v>
      </c>
      <c r="AS986" s="247">
        <v>26.2</v>
      </c>
      <c r="AT986" s="247">
        <v>41</v>
      </c>
      <c r="AU986" s="247">
        <v>13.1</v>
      </c>
      <c r="AV986" s="247">
        <v>66</v>
      </c>
      <c r="AW986" s="247">
        <v>49</v>
      </c>
      <c r="AX986" s="247">
        <v>298</v>
      </c>
      <c r="AY986" s="247">
        <v>78</v>
      </c>
      <c r="AZ986" s="247" t="s">
        <v>1005</v>
      </c>
      <c r="BA986" s="248">
        <v>0</v>
      </c>
      <c r="BB986" s="235">
        <v>35</v>
      </c>
      <c r="BC986" s="247" t="s">
        <v>1925</v>
      </c>
      <c r="BD986" s="247">
        <v>1.9</v>
      </c>
      <c r="BE986" s="247">
        <v>1.9</v>
      </c>
      <c r="BF986" s="247">
        <v>3.2</v>
      </c>
      <c r="BG986" s="247">
        <v>6</v>
      </c>
      <c r="BH986" s="247">
        <v>8.6999999999999993</v>
      </c>
      <c r="BI986" s="247">
        <v>12.2</v>
      </c>
      <c r="BJ986" s="247">
        <v>14.6</v>
      </c>
      <c r="BK986" s="247">
        <v>12.7</v>
      </c>
      <c r="BL986" s="247">
        <v>9.1</v>
      </c>
      <c r="BM986" s="247">
        <v>6</v>
      </c>
      <c r="BN986" s="247">
        <v>3.9</v>
      </c>
      <c r="BO986" s="247">
        <v>2.5</v>
      </c>
      <c r="BP986" s="248">
        <v>6.9</v>
      </c>
    </row>
    <row r="987" spans="1:68" ht="14.25" customHeight="1">
      <c r="A987" s="233">
        <v>330</v>
      </c>
      <c r="B987" s="234">
        <v>264</v>
      </c>
      <c r="C987" s="244" t="s">
        <v>928</v>
      </c>
      <c r="D987" s="244" t="s">
        <v>941</v>
      </c>
      <c r="E987" s="244" t="s">
        <v>1928</v>
      </c>
      <c r="F987" s="245">
        <v>-22.9</v>
      </c>
      <c r="G987" s="245">
        <v>-18.3</v>
      </c>
      <c r="H987" s="245">
        <v>-8.6999999999999993</v>
      </c>
      <c r="I987" s="245">
        <v>2.1</v>
      </c>
      <c r="J987" s="245">
        <v>9.4</v>
      </c>
      <c r="K987" s="245">
        <v>15</v>
      </c>
      <c r="L987" s="245">
        <v>19.2</v>
      </c>
      <c r="M987" s="245">
        <v>18.2</v>
      </c>
      <c r="N987" s="245">
        <v>11.3</v>
      </c>
      <c r="O987" s="245">
        <v>2.6</v>
      </c>
      <c r="P987" s="245">
        <v>-9.1999999999999993</v>
      </c>
      <c r="Q987" s="245">
        <v>-19.899999999999999</v>
      </c>
      <c r="R987" s="246">
        <v>-0.1</v>
      </c>
      <c r="S987" s="233">
        <v>264</v>
      </c>
      <c r="T987" s="247" t="s">
        <v>1929</v>
      </c>
      <c r="U987" s="245">
        <v>-39</v>
      </c>
      <c r="V987" s="245">
        <v>-34</v>
      </c>
      <c r="W987" s="245">
        <v>-36</v>
      </c>
      <c r="X987" s="245">
        <v>-32</v>
      </c>
      <c r="Y987" s="245">
        <v>-28</v>
      </c>
      <c r="Z987" s="245">
        <v>-49</v>
      </c>
      <c r="AA987" s="245">
        <v>16.2</v>
      </c>
      <c r="AB987" s="245">
        <v>169</v>
      </c>
      <c r="AC987" s="245">
        <v>-13.8</v>
      </c>
      <c r="AD987" s="245">
        <v>225</v>
      </c>
      <c r="AE987" s="245">
        <v>-9.3000000000000007</v>
      </c>
      <c r="AF987" s="245">
        <v>241</v>
      </c>
      <c r="AG987" s="245">
        <v>-8</v>
      </c>
      <c r="AH987" s="245">
        <v>73</v>
      </c>
      <c r="AI987" s="245">
        <v>62</v>
      </c>
      <c r="AJ987" s="245">
        <v>97</v>
      </c>
      <c r="AK987" s="245" t="s">
        <v>950</v>
      </c>
      <c r="AL987" s="245" t="s">
        <v>931</v>
      </c>
      <c r="AM987" s="246">
        <v>2.4</v>
      </c>
      <c r="AN987" s="235">
        <v>264</v>
      </c>
      <c r="AO987" s="247" t="s">
        <v>1930</v>
      </c>
      <c r="AP987" s="247">
        <v>980</v>
      </c>
      <c r="AQ987" s="247">
        <v>24.1</v>
      </c>
      <c r="AR987" s="247">
        <v>28.2</v>
      </c>
      <c r="AS987" s="247">
        <v>26.5</v>
      </c>
      <c r="AT987" s="247">
        <v>37</v>
      </c>
      <c r="AU987" s="247">
        <v>12.6</v>
      </c>
      <c r="AV987" s="247">
        <v>81</v>
      </c>
      <c r="AW987" s="247">
        <v>62</v>
      </c>
      <c r="AX987" s="247">
        <v>624</v>
      </c>
      <c r="AY987" s="247">
        <v>153</v>
      </c>
      <c r="AZ987" s="247" t="s">
        <v>1038</v>
      </c>
      <c r="BA987" s="248" t="s">
        <v>934</v>
      </c>
      <c r="BB987" s="235">
        <v>235</v>
      </c>
      <c r="BC987" s="247" t="s">
        <v>1928</v>
      </c>
      <c r="BD987" s="247">
        <v>0.8</v>
      </c>
      <c r="BE987" s="247">
        <v>1.2</v>
      </c>
      <c r="BF987" s="247">
        <v>2.2999999999999998</v>
      </c>
      <c r="BG987" s="247">
        <v>4.5999999999999996</v>
      </c>
      <c r="BH987" s="247">
        <v>7.7</v>
      </c>
      <c r="BI987" s="247">
        <v>12.8</v>
      </c>
      <c r="BJ987" s="247">
        <v>17.8</v>
      </c>
      <c r="BK987" s="247">
        <v>17.5</v>
      </c>
      <c r="BL987" s="247">
        <v>11.1</v>
      </c>
      <c r="BM987" s="247">
        <v>5.5</v>
      </c>
      <c r="BN987" s="247">
        <v>2.5</v>
      </c>
      <c r="BO987" s="247">
        <v>1.1000000000000001</v>
      </c>
      <c r="BP987" s="248">
        <v>7.1</v>
      </c>
    </row>
    <row r="988" spans="1:68" ht="14.25" customHeight="1">
      <c r="A988" s="233">
        <v>331</v>
      </c>
      <c r="B988" s="234">
        <v>482</v>
      </c>
      <c r="C988" s="244" t="s">
        <v>1068</v>
      </c>
      <c r="D988" s="244" t="s">
        <v>1068</v>
      </c>
      <c r="E988" s="244" t="s">
        <v>1931</v>
      </c>
      <c r="F988" s="245">
        <v>-5.8</v>
      </c>
      <c r="G988" s="245">
        <v>-3.9</v>
      </c>
      <c r="H988" s="245">
        <v>0</v>
      </c>
      <c r="I988" s="245">
        <v>5.8</v>
      </c>
      <c r="J988" s="245">
        <v>10.6</v>
      </c>
      <c r="K988" s="245">
        <v>13.6</v>
      </c>
      <c r="L988" s="245">
        <v>16.899999999999999</v>
      </c>
      <c r="M988" s="245">
        <v>15.9</v>
      </c>
      <c r="N988" s="245">
        <v>11.9</v>
      </c>
      <c r="O988" s="245">
        <v>6.7</v>
      </c>
      <c r="P988" s="245">
        <v>1.5</v>
      </c>
      <c r="Q988" s="245">
        <v>-3.7</v>
      </c>
      <c r="R988" s="246">
        <v>5.8</v>
      </c>
      <c r="S988" s="233">
        <v>482</v>
      </c>
      <c r="T988" s="247" t="s">
        <v>1932</v>
      </c>
      <c r="U988" s="245">
        <v>-20</v>
      </c>
      <c r="V988" s="245">
        <v>-16</v>
      </c>
      <c r="W988" s="245">
        <v>-15</v>
      </c>
      <c r="X988" s="245">
        <v>-13</v>
      </c>
      <c r="Y988" s="245">
        <v>-4</v>
      </c>
      <c r="Z988" s="245">
        <v>-35</v>
      </c>
      <c r="AA988" s="245">
        <v>10.5</v>
      </c>
      <c r="AB988" s="245">
        <v>148</v>
      </c>
      <c r="AC988" s="245">
        <v>-3.7</v>
      </c>
      <c r="AD988" s="245">
        <v>202</v>
      </c>
      <c r="AE988" s="245">
        <v>-0.4</v>
      </c>
      <c r="AF988" s="245">
        <v>228</v>
      </c>
      <c r="AG988" s="245">
        <v>0.7</v>
      </c>
      <c r="AH988" s="245" t="s">
        <v>956</v>
      </c>
      <c r="AI988" s="245">
        <v>66</v>
      </c>
      <c r="AJ988" s="245">
        <v>331</v>
      </c>
      <c r="AK988" s="245" t="s">
        <v>996</v>
      </c>
      <c r="AL988" s="245" t="s">
        <v>931</v>
      </c>
      <c r="AM988" s="246">
        <v>1.3</v>
      </c>
      <c r="AN988" s="235">
        <v>482</v>
      </c>
      <c r="AO988" s="247" t="s">
        <v>1933</v>
      </c>
      <c r="AP988" s="247">
        <v>855</v>
      </c>
      <c r="AQ988" s="247">
        <v>21</v>
      </c>
      <c r="AR988" s="247">
        <v>26</v>
      </c>
      <c r="AS988" s="247">
        <v>23</v>
      </c>
      <c r="AT988" s="247">
        <v>38</v>
      </c>
      <c r="AU988" s="247">
        <v>15.2</v>
      </c>
      <c r="AV988" s="247">
        <v>72</v>
      </c>
      <c r="AW988" s="247">
        <v>46</v>
      </c>
      <c r="AX988" s="247" t="s">
        <v>931</v>
      </c>
      <c r="AY988" s="247">
        <v>145</v>
      </c>
      <c r="AZ988" s="247" t="s">
        <v>978</v>
      </c>
      <c r="BA988" s="248">
        <v>0.2</v>
      </c>
      <c r="BB988" s="235"/>
      <c r="BC988" s="247" t="s">
        <v>1932</v>
      </c>
      <c r="BD988" s="247"/>
      <c r="BE988" s="247"/>
      <c r="BF988" s="247"/>
      <c r="BG988" s="247"/>
      <c r="BH988" s="247"/>
      <c r="BI988" s="247"/>
      <c r="BJ988" s="247"/>
      <c r="BK988" s="247"/>
      <c r="BL988" s="247"/>
      <c r="BM988" s="247"/>
      <c r="BN988" s="247"/>
      <c r="BO988" s="247"/>
      <c r="BP988" s="248"/>
    </row>
    <row r="989" spans="1:68" ht="14.25" customHeight="1">
      <c r="A989" s="233">
        <v>332</v>
      </c>
      <c r="B989" s="234">
        <v>273</v>
      </c>
      <c r="C989" s="244" t="s">
        <v>928</v>
      </c>
      <c r="D989" s="244" t="s">
        <v>1934</v>
      </c>
      <c r="E989" s="244" t="s">
        <v>1935</v>
      </c>
      <c r="F989" s="245">
        <v>-8.1</v>
      </c>
      <c r="G989" s="245">
        <v>-7.4</v>
      </c>
      <c r="H989" s="245">
        <v>-2</v>
      </c>
      <c r="I989" s="245">
        <v>8.4</v>
      </c>
      <c r="J989" s="245">
        <v>15.8</v>
      </c>
      <c r="K989" s="245">
        <v>19.600000000000001</v>
      </c>
      <c r="L989" s="245">
        <v>22</v>
      </c>
      <c r="M989" s="245">
        <v>21</v>
      </c>
      <c r="N989" s="245">
        <v>14.9</v>
      </c>
      <c r="O989" s="245">
        <v>7.2</v>
      </c>
      <c r="P989" s="245">
        <v>0.9</v>
      </c>
      <c r="Q989" s="245">
        <v>-4.5999999999999996</v>
      </c>
      <c r="R989" s="246">
        <v>7.3</v>
      </c>
      <c r="S989" s="233">
        <v>273</v>
      </c>
      <c r="T989" s="247" t="s">
        <v>1936</v>
      </c>
      <c r="U989" s="245">
        <v>-31</v>
      </c>
      <c r="V989" s="245">
        <v>-29</v>
      </c>
      <c r="W989" s="245">
        <v>-27</v>
      </c>
      <c r="X989" s="245">
        <v>-25</v>
      </c>
      <c r="Y989" s="245">
        <v>-13</v>
      </c>
      <c r="Z989" s="245">
        <v>-36</v>
      </c>
      <c r="AA989" s="245">
        <v>6.5</v>
      </c>
      <c r="AB989" s="245">
        <v>121</v>
      </c>
      <c r="AC989" s="245">
        <v>-5.2</v>
      </c>
      <c r="AD989" s="245">
        <v>184</v>
      </c>
      <c r="AE989" s="245">
        <v>-2.1</v>
      </c>
      <c r="AF989" s="245">
        <v>199</v>
      </c>
      <c r="AG989" s="245">
        <v>-1.2</v>
      </c>
      <c r="AH989" s="245">
        <v>84</v>
      </c>
      <c r="AI989" s="245">
        <v>83</v>
      </c>
      <c r="AJ989" s="245">
        <v>188</v>
      </c>
      <c r="AK989" s="245" t="s">
        <v>982</v>
      </c>
      <c r="AL989" s="245">
        <v>7.9</v>
      </c>
      <c r="AM989" s="246">
        <v>5.2</v>
      </c>
      <c r="AN989" s="235">
        <v>273</v>
      </c>
      <c r="AO989" s="247" t="s">
        <v>1937</v>
      </c>
      <c r="AP989" s="247">
        <v>995</v>
      </c>
      <c r="AQ989" s="247">
        <v>26</v>
      </c>
      <c r="AR989" s="247">
        <v>30</v>
      </c>
      <c r="AS989" s="247">
        <v>28.4</v>
      </c>
      <c r="AT989" s="247">
        <v>40</v>
      </c>
      <c r="AU989" s="247">
        <v>13</v>
      </c>
      <c r="AV989" s="247">
        <v>57</v>
      </c>
      <c r="AW989" s="247">
        <v>40</v>
      </c>
      <c r="AX989" s="247">
        <v>304</v>
      </c>
      <c r="AY989" s="247">
        <v>64</v>
      </c>
      <c r="AZ989" s="247" t="s">
        <v>940</v>
      </c>
      <c r="BA989" s="248">
        <v>0</v>
      </c>
      <c r="BB989" s="235">
        <v>244</v>
      </c>
      <c r="BC989" s="247" t="s">
        <v>1935</v>
      </c>
      <c r="BD989" s="247">
        <v>3.4</v>
      </c>
      <c r="BE989" s="247">
        <v>3.5</v>
      </c>
      <c r="BF989" s="247">
        <v>4.7</v>
      </c>
      <c r="BG989" s="247">
        <v>7.1</v>
      </c>
      <c r="BH989" s="247">
        <v>9.5</v>
      </c>
      <c r="BI989" s="247">
        <v>12.7</v>
      </c>
      <c r="BJ989" s="247">
        <v>14.2</v>
      </c>
      <c r="BK989" s="247">
        <v>13</v>
      </c>
      <c r="BL989" s="247">
        <v>9.8000000000000007</v>
      </c>
      <c r="BM989" s="247">
        <v>7.5</v>
      </c>
      <c r="BN989" s="247">
        <v>5.8</v>
      </c>
      <c r="BO989" s="247">
        <v>4.4000000000000004</v>
      </c>
      <c r="BP989" s="248">
        <v>8</v>
      </c>
    </row>
    <row r="990" spans="1:68" ht="14.25" customHeight="1">
      <c r="A990" s="233">
        <v>333</v>
      </c>
      <c r="B990" s="234">
        <v>118</v>
      </c>
      <c r="C990" s="244" t="s">
        <v>928</v>
      </c>
      <c r="D990" s="244" t="s">
        <v>1023</v>
      </c>
      <c r="E990" s="244" t="s">
        <v>1938</v>
      </c>
      <c r="F990" s="245">
        <v>-19.899999999999999</v>
      </c>
      <c r="G990" s="245">
        <v>-17</v>
      </c>
      <c r="H990" s="245">
        <v>-11.9</v>
      </c>
      <c r="I990" s="245">
        <v>-2.5</v>
      </c>
      <c r="J990" s="245">
        <v>5.2</v>
      </c>
      <c r="K990" s="245">
        <v>11.6</v>
      </c>
      <c r="L990" s="245">
        <v>15</v>
      </c>
      <c r="M990" s="245">
        <v>13.6</v>
      </c>
      <c r="N990" s="245">
        <v>8</v>
      </c>
      <c r="O990" s="245">
        <v>0.3</v>
      </c>
      <c r="P990" s="245">
        <v>-10.9</v>
      </c>
      <c r="Q990" s="245">
        <v>-17.600000000000001</v>
      </c>
      <c r="R990" s="246">
        <v>-2.1</v>
      </c>
      <c r="S990" s="233">
        <v>118</v>
      </c>
      <c r="T990" s="247" t="s">
        <v>1939</v>
      </c>
      <c r="U990" s="245">
        <v>-43</v>
      </c>
      <c r="V990" s="245">
        <v>-40</v>
      </c>
      <c r="W990" s="245">
        <v>-40</v>
      </c>
      <c r="X990" s="245">
        <v>-38</v>
      </c>
      <c r="Y990" s="245">
        <v>-25</v>
      </c>
      <c r="Z990" s="245">
        <v>-51</v>
      </c>
      <c r="AA990" s="245">
        <v>12.8</v>
      </c>
      <c r="AB990" s="245">
        <v>191</v>
      </c>
      <c r="AC990" s="245">
        <v>-12.5</v>
      </c>
      <c r="AD990" s="245">
        <v>256</v>
      </c>
      <c r="AE990" s="245">
        <v>-8.3000000000000007</v>
      </c>
      <c r="AF990" s="245">
        <v>276</v>
      </c>
      <c r="AG990" s="245">
        <v>-7</v>
      </c>
      <c r="AH990" s="245">
        <v>82</v>
      </c>
      <c r="AI990" s="245">
        <v>80</v>
      </c>
      <c r="AJ990" s="245">
        <v>291</v>
      </c>
      <c r="AK990" s="245" t="s">
        <v>971</v>
      </c>
      <c r="AL990" s="245" t="s">
        <v>931</v>
      </c>
      <c r="AM990" s="246">
        <v>1.6</v>
      </c>
      <c r="AN990" s="235">
        <v>118</v>
      </c>
      <c r="AO990" s="247" t="s">
        <v>1940</v>
      </c>
      <c r="AP990" s="247">
        <v>995</v>
      </c>
      <c r="AQ990" s="247">
        <v>18.899999999999999</v>
      </c>
      <c r="AR990" s="247">
        <v>23.2</v>
      </c>
      <c r="AS990" s="247">
        <v>21.3</v>
      </c>
      <c r="AT990" s="247">
        <v>32</v>
      </c>
      <c r="AU990" s="247">
        <v>12.3</v>
      </c>
      <c r="AV990" s="247">
        <v>76</v>
      </c>
      <c r="AW990" s="247">
        <v>61</v>
      </c>
      <c r="AX990" s="247">
        <v>329</v>
      </c>
      <c r="AY990" s="247">
        <v>51</v>
      </c>
      <c r="AZ990" s="247" t="s">
        <v>978</v>
      </c>
      <c r="BA990" s="248" t="s">
        <v>934</v>
      </c>
      <c r="BB990" s="235">
        <v>102</v>
      </c>
      <c r="BC990" s="247" t="s">
        <v>1938</v>
      </c>
      <c r="BD990" s="247">
        <v>1.5</v>
      </c>
      <c r="BE990" s="247">
        <v>1.7</v>
      </c>
      <c r="BF990" s="247">
        <v>2.1</v>
      </c>
      <c r="BG990" s="247">
        <v>3.5</v>
      </c>
      <c r="BH990" s="247">
        <v>5.4</v>
      </c>
      <c r="BI990" s="247">
        <v>8.9</v>
      </c>
      <c r="BJ990" s="247">
        <v>13</v>
      </c>
      <c r="BK990" s="247">
        <v>12.5</v>
      </c>
      <c r="BL990" s="247">
        <v>8.3000000000000007</v>
      </c>
      <c r="BM990" s="247">
        <v>4.5999999999999996</v>
      </c>
      <c r="BN990" s="247">
        <v>2.5</v>
      </c>
      <c r="BO990" s="247">
        <v>1.7</v>
      </c>
      <c r="BP990" s="248">
        <v>5.5</v>
      </c>
    </row>
    <row r="991" spans="1:68" ht="14.25" customHeight="1">
      <c r="A991" s="233">
        <v>334</v>
      </c>
      <c r="B991" s="234">
        <v>475</v>
      </c>
      <c r="C991" s="244" t="s">
        <v>1220</v>
      </c>
      <c r="D991" s="244" t="s">
        <v>1941</v>
      </c>
      <c r="E991" s="244" t="s">
        <v>1942</v>
      </c>
      <c r="F991" s="245">
        <v>-6.9</v>
      </c>
      <c r="G991" s="245">
        <v>-6.2</v>
      </c>
      <c r="H991" s="245">
        <v>-2</v>
      </c>
      <c r="I991" s="245">
        <v>5.5</v>
      </c>
      <c r="J991" s="245">
        <v>12.7</v>
      </c>
      <c r="K991" s="245">
        <v>16</v>
      </c>
      <c r="L991" s="245">
        <v>17.7</v>
      </c>
      <c r="M991" s="245">
        <v>16.3</v>
      </c>
      <c r="N991" s="245">
        <v>11.6</v>
      </c>
      <c r="O991" s="245">
        <v>5.8</v>
      </c>
      <c r="P991" s="245">
        <v>0.2</v>
      </c>
      <c r="Q991" s="245">
        <v>-4.3</v>
      </c>
      <c r="R991" s="246">
        <v>5.5</v>
      </c>
      <c r="S991" s="233">
        <v>475</v>
      </c>
      <c r="T991" s="247" t="s">
        <v>1943</v>
      </c>
      <c r="U991" s="245">
        <v>-33</v>
      </c>
      <c r="V991" s="245">
        <v>-28</v>
      </c>
      <c r="W991" s="245">
        <v>-28</v>
      </c>
      <c r="X991" s="245">
        <v>-24</v>
      </c>
      <c r="Y991" s="245">
        <v>-10</v>
      </c>
      <c r="Z991" s="245">
        <v>-39</v>
      </c>
      <c r="AA991" s="245">
        <v>6.2</v>
      </c>
      <c r="AB991" s="245">
        <v>131</v>
      </c>
      <c r="AC991" s="245">
        <v>-4.5999999999999996</v>
      </c>
      <c r="AD991" s="245">
        <v>202</v>
      </c>
      <c r="AE991" s="245">
        <v>-1.6</v>
      </c>
      <c r="AF991" s="245">
        <v>221</v>
      </c>
      <c r="AG991" s="245">
        <v>-0.7</v>
      </c>
      <c r="AH991" s="245">
        <v>86</v>
      </c>
      <c r="AI991" s="245">
        <v>81</v>
      </c>
      <c r="AJ991" s="245">
        <v>228</v>
      </c>
      <c r="AK991" s="245" t="s">
        <v>963</v>
      </c>
      <c r="AL991" s="245">
        <v>3.7</v>
      </c>
      <c r="AM991" s="246">
        <v>3.9</v>
      </c>
      <c r="AN991" s="235">
        <v>475</v>
      </c>
      <c r="AO991" s="247" t="s">
        <v>1944</v>
      </c>
      <c r="AP991" s="247">
        <v>990</v>
      </c>
      <c r="AQ991" s="247">
        <v>21</v>
      </c>
      <c r="AR991" s="247">
        <v>25.5</v>
      </c>
      <c r="AS991" s="247">
        <v>23</v>
      </c>
      <c r="AT991" s="247">
        <v>35</v>
      </c>
      <c r="AU991" s="247">
        <v>10.3</v>
      </c>
      <c r="AV991" s="247">
        <v>70</v>
      </c>
      <c r="AW991" s="247">
        <v>58</v>
      </c>
      <c r="AX991" s="247">
        <v>470</v>
      </c>
      <c r="AY991" s="247">
        <v>74</v>
      </c>
      <c r="AZ991" s="247" t="s">
        <v>959</v>
      </c>
      <c r="BA991" s="248">
        <v>2</v>
      </c>
      <c r="BB991" s="235"/>
      <c r="BC991" s="247" t="s">
        <v>1943</v>
      </c>
      <c r="BD991" s="247"/>
      <c r="BE991" s="247"/>
      <c r="BF991" s="247"/>
      <c r="BG991" s="247"/>
      <c r="BH991" s="247"/>
      <c r="BI991" s="247"/>
      <c r="BJ991" s="247"/>
      <c r="BK991" s="247"/>
      <c r="BL991" s="247"/>
      <c r="BM991" s="247"/>
      <c r="BN991" s="247"/>
      <c r="BO991" s="247"/>
      <c r="BP991" s="248"/>
    </row>
    <row r="992" spans="1:68" ht="14.25" customHeight="1">
      <c r="A992" s="233">
        <v>335</v>
      </c>
      <c r="B992" s="234">
        <v>187</v>
      </c>
      <c r="C992" s="244" t="s">
        <v>928</v>
      </c>
      <c r="D992" s="244" t="s">
        <v>935</v>
      </c>
      <c r="E992" s="244" t="s">
        <v>1945</v>
      </c>
      <c r="F992" s="245">
        <v>-20.8</v>
      </c>
      <c r="G992" s="245">
        <v>-19</v>
      </c>
      <c r="H992" s="245">
        <v>-8.9</v>
      </c>
      <c r="I992" s="245">
        <v>3</v>
      </c>
      <c r="J992" s="245">
        <v>10.5</v>
      </c>
      <c r="K992" s="245">
        <v>17.2</v>
      </c>
      <c r="L992" s="245">
        <v>19.8</v>
      </c>
      <c r="M992" s="245">
        <v>16.899999999999999</v>
      </c>
      <c r="N992" s="245">
        <v>10</v>
      </c>
      <c r="O992" s="245">
        <v>1.9</v>
      </c>
      <c r="P992" s="245">
        <v>-8.9</v>
      </c>
      <c r="Q992" s="245">
        <v>-17.8</v>
      </c>
      <c r="R992" s="246">
        <v>0.3</v>
      </c>
      <c r="S992" s="233">
        <v>187</v>
      </c>
      <c r="T992" s="247" t="s">
        <v>1946</v>
      </c>
      <c r="U992" s="245">
        <v>-46</v>
      </c>
      <c r="V992" s="245">
        <v>-44</v>
      </c>
      <c r="W992" s="245">
        <v>-42</v>
      </c>
      <c r="X992" s="245">
        <v>-40</v>
      </c>
      <c r="Y992" s="245">
        <v>-26</v>
      </c>
      <c r="Z992" s="245">
        <v>-52</v>
      </c>
      <c r="AA992" s="245">
        <v>12.6</v>
      </c>
      <c r="AB992" s="245">
        <v>168</v>
      </c>
      <c r="AC992" s="245">
        <v>-13.1</v>
      </c>
      <c r="AD992" s="245">
        <v>225</v>
      </c>
      <c r="AE992" s="245">
        <v>-8.8000000000000007</v>
      </c>
      <c r="AF992" s="245">
        <v>240</v>
      </c>
      <c r="AG992" s="245">
        <v>-7.6</v>
      </c>
      <c r="AH992" s="245">
        <v>77</v>
      </c>
      <c r="AI992" s="245">
        <v>75</v>
      </c>
      <c r="AJ992" s="245">
        <v>55</v>
      </c>
      <c r="AK992" s="245" t="s">
        <v>971</v>
      </c>
      <c r="AL992" s="245">
        <v>4.8</v>
      </c>
      <c r="AM992" s="246">
        <v>1.8</v>
      </c>
      <c r="AN992" s="235">
        <v>187</v>
      </c>
      <c r="AO992" s="247" t="s">
        <v>1947</v>
      </c>
      <c r="AP992" s="247">
        <v>980</v>
      </c>
      <c r="AQ992" s="247">
        <v>24.3</v>
      </c>
      <c r="AR992" s="247">
        <v>28.2</v>
      </c>
      <c r="AS992" s="247">
        <v>26.6</v>
      </c>
      <c r="AT992" s="247">
        <v>39</v>
      </c>
      <c r="AU992" s="247">
        <v>13.6</v>
      </c>
      <c r="AV992" s="247">
        <v>68</v>
      </c>
      <c r="AW992" s="247">
        <v>51</v>
      </c>
      <c r="AX992" s="247">
        <v>296</v>
      </c>
      <c r="AY992" s="247">
        <v>54</v>
      </c>
      <c r="AZ992" s="247" t="s">
        <v>978</v>
      </c>
      <c r="BA992" s="248">
        <v>0</v>
      </c>
      <c r="BB992" s="235">
        <v>165</v>
      </c>
      <c r="BC992" s="247" t="s">
        <v>1945</v>
      </c>
      <c r="BD992" s="247">
        <v>1.2</v>
      </c>
      <c r="BE992" s="247">
        <v>1.5</v>
      </c>
      <c r="BF992" s="247">
        <v>2.7</v>
      </c>
      <c r="BG992" s="247">
        <v>4.5999999999999996</v>
      </c>
      <c r="BH992" s="247">
        <v>7</v>
      </c>
      <c r="BI992" s="247">
        <v>11.9</v>
      </c>
      <c r="BJ992" s="247">
        <v>15.1</v>
      </c>
      <c r="BK992" s="247">
        <v>13.3</v>
      </c>
      <c r="BL992" s="247">
        <v>9</v>
      </c>
      <c r="BM992" s="247">
        <v>5.0999999999999996</v>
      </c>
      <c r="BN992" s="247">
        <v>2.7</v>
      </c>
      <c r="BO992" s="247">
        <v>1.6</v>
      </c>
      <c r="BP992" s="248">
        <v>6.3</v>
      </c>
    </row>
    <row r="993" spans="1:68" ht="14.25" customHeight="1">
      <c r="A993" s="233">
        <v>336</v>
      </c>
      <c r="B993" s="234">
        <v>477</v>
      </c>
      <c r="C993" s="244" t="s">
        <v>1220</v>
      </c>
      <c r="D993" s="244" t="s">
        <v>1377</v>
      </c>
      <c r="E993" s="244" t="s">
        <v>1948</v>
      </c>
      <c r="F993" s="245">
        <v>-7.6</v>
      </c>
      <c r="G993" s="245">
        <v>-6.9</v>
      </c>
      <c r="H993" s="245">
        <v>-2.2999999999999998</v>
      </c>
      <c r="I993" s="245">
        <v>5.5</v>
      </c>
      <c r="J993" s="245">
        <v>12.9</v>
      </c>
      <c r="K993" s="245">
        <v>16.3</v>
      </c>
      <c r="L993" s="245">
        <v>18</v>
      </c>
      <c r="M993" s="245">
        <v>16.5</v>
      </c>
      <c r="N993" s="245">
        <v>11.6</v>
      </c>
      <c r="O993" s="245">
        <v>5.4</v>
      </c>
      <c r="P993" s="245">
        <v>-0.1</v>
      </c>
      <c r="Q993" s="245">
        <v>-4.9000000000000004</v>
      </c>
      <c r="R993" s="246">
        <v>5.4</v>
      </c>
      <c r="S993" s="233">
        <v>477</v>
      </c>
      <c r="T993" s="247" t="s">
        <v>1949</v>
      </c>
      <c r="U993" s="245">
        <v>-34</v>
      </c>
      <c r="V993" s="245">
        <v>-29</v>
      </c>
      <c r="W993" s="245">
        <v>-28</v>
      </c>
      <c r="X993" s="245">
        <v>-24</v>
      </c>
      <c r="Y993" s="245">
        <v>-12</v>
      </c>
      <c r="Z993" s="245">
        <v>-37</v>
      </c>
      <c r="AA993" s="245">
        <v>6.4</v>
      </c>
      <c r="AB993" s="245">
        <v>132</v>
      </c>
      <c r="AC993" s="245">
        <v>-5.0999999999999996</v>
      </c>
      <c r="AD993" s="245">
        <v>204</v>
      </c>
      <c r="AE993" s="245">
        <v>-1.9</v>
      </c>
      <c r="AF993" s="245">
        <v>220</v>
      </c>
      <c r="AG993" s="245">
        <v>-1.1000000000000001</v>
      </c>
      <c r="AH993" s="245">
        <v>86</v>
      </c>
      <c r="AI993" s="245">
        <v>82</v>
      </c>
      <c r="AJ993" s="245">
        <v>217</v>
      </c>
      <c r="AK993" s="245" t="s">
        <v>963</v>
      </c>
      <c r="AL993" s="245">
        <v>4.7</v>
      </c>
      <c r="AM993" s="246">
        <v>4.4000000000000004</v>
      </c>
      <c r="AN993" s="235">
        <v>477</v>
      </c>
      <c r="AO993" s="247" t="s">
        <v>1950</v>
      </c>
      <c r="AP993" s="247">
        <v>990</v>
      </c>
      <c r="AQ993" s="247">
        <v>21.5</v>
      </c>
      <c r="AR993" s="247">
        <v>26</v>
      </c>
      <c r="AS993" s="247">
        <v>23</v>
      </c>
      <c r="AT993" s="247">
        <v>36</v>
      </c>
      <c r="AU993" s="247">
        <v>10.8</v>
      </c>
      <c r="AV993" s="247">
        <v>73</v>
      </c>
      <c r="AW993" s="247">
        <v>58</v>
      </c>
      <c r="AX993" s="247">
        <v>459</v>
      </c>
      <c r="AY993" s="247">
        <v>74</v>
      </c>
      <c r="AZ993" s="247" t="s">
        <v>952</v>
      </c>
      <c r="BA993" s="248">
        <v>3.7</v>
      </c>
      <c r="BB993" s="235"/>
      <c r="BC993" s="247" t="s">
        <v>1949</v>
      </c>
      <c r="BD993" s="247"/>
      <c r="BE993" s="247"/>
      <c r="BF993" s="247"/>
      <c r="BG993" s="247"/>
      <c r="BH993" s="247"/>
      <c r="BI993" s="247"/>
      <c r="BJ993" s="247"/>
      <c r="BK993" s="247"/>
      <c r="BL993" s="247"/>
      <c r="BM993" s="247"/>
      <c r="BN993" s="247"/>
      <c r="BO993" s="247"/>
      <c r="BP993" s="248"/>
    </row>
    <row r="994" spans="1:68" ht="14.25" customHeight="1">
      <c r="A994" s="233">
        <v>337</v>
      </c>
      <c r="B994" s="234">
        <v>383</v>
      </c>
      <c r="C994" s="244" t="s">
        <v>928</v>
      </c>
      <c r="D994" s="244" t="s">
        <v>947</v>
      </c>
      <c r="E994" s="244" t="s">
        <v>1951</v>
      </c>
      <c r="F994" s="245">
        <v>-29.6</v>
      </c>
      <c r="G994" s="245">
        <v>-24.5</v>
      </c>
      <c r="H994" s="245">
        <v>-14.5</v>
      </c>
      <c r="I994" s="245">
        <v>-2.4</v>
      </c>
      <c r="J994" s="245">
        <v>6.6</v>
      </c>
      <c r="K994" s="245">
        <v>13.8</v>
      </c>
      <c r="L994" s="245">
        <v>16.8</v>
      </c>
      <c r="M994" s="245">
        <v>13.7</v>
      </c>
      <c r="N994" s="245">
        <v>6.7</v>
      </c>
      <c r="O994" s="245">
        <v>-3.8</v>
      </c>
      <c r="P994" s="245">
        <v>-18.899999999999999</v>
      </c>
      <c r="Q994" s="245">
        <v>-28.5</v>
      </c>
      <c r="R994" s="246">
        <v>-5.4</v>
      </c>
      <c r="S994" s="233">
        <v>383</v>
      </c>
      <c r="T994" s="247" t="s">
        <v>1952</v>
      </c>
      <c r="U994" s="245">
        <v>-47</v>
      </c>
      <c r="V994" s="245">
        <v>-45</v>
      </c>
      <c r="W994" s="245">
        <v>-43</v>
      </c>
      <c r="X994" s="245">
        <v>-41</v>
      </c>
      <c r="Y994" s="245">
        <v>-35</v>
      </c>
      <c r="Z994" s="245">
        <v>-53</v>
      </c>
      <c r="AA994" s="245">
        <v>15.2</v>
      </c>
      <c r="AB994" s="245">
        <v>201</v>
      </c>
      <c r="AC994" s="245">
        <v>-18.100000000000001</v>
      </c>
      <c r="AD994" s="245">
        <v>254</v>
      </c>
      <c r="AE994" s="245">
        <v>-13.4</v>
      </c>
      <c r="AF994" s="245">
        <v>271</v>
      </c>
      <c r="AG994" s="245">
        <v>-12</v>
      </c>
      <c r="AH994" s="245">
        <v>76</v>
      </c>
      <c r="AI994" s="245">
        <v>76</v>
      </c>
      <c r="AJ994" s="245">
        <v>32</v>
      </c>
      <c r="AK994" s="245" t="s">
        <v>944</v>
      </c>
      <c r="AL994" s="245">
        <v>5.2</v>
      </c>
      <c r="AM994" s="246">
        <v>1.8</v>
      </c>
      <c r="AN994" s="235">
        <v>383</v>
      </c>
      <c r="AO994" s="247" t="s">
        <v>1953</v>
      </c>
      <c r="AP994" s="247">
        <v>940</v>
      </c>
      <c r="AQ994" s="247">
        <v>22</v>
      </c>
      <c r="AR994" s="247">
        <v>25.5</v>
      </c>
      <c r="AS994" s="247">
        <v>24.1</v>
      </c>
      <c r="AT994" s="247">
        <v>36</v>
      </c>
      <c r="AU994" s="247">
        <v>14.5</v>
      </c>
      <c r="AV994" s="247">
        <v>75</v>
      </c>
      <c r="AW994" s="247">
        <v>70</v>
      </c>
      <c r="AX994" s="247">
        <v>409</v>
      </c>
      <c r="AY994" s="247">
        <v>99</v>
      </c>
      <c r="AZ994" s="247" t="s">
        <v>959</v>
      </c>
      <c r="BA994" s="248">
        <v>0</v>
      </c>
      <c r="BB994" s="235">
        <v>347</v>
      </c>
      <c r="BC994" s="247" t="s">
        <v>1951</v>
      </c>
      <c r="BD994" s="247">
        <v>0.5</v>
      </c>
      <c r="BE994" s="247">
        <v>0.7</v>
      </c>
      <c r="BF994" s="247">
        <v>1.5</v>
      </c>
      <c r="BG994" s="247">
        <v>3.1</v>
      </c>
      <c r="BH994" s="247">
        <v>5.3</v>
      </c>
      <c r="BI994" s="247">
        <v>10.199999999999999</v>
      </c>
      <c r="BJ994" s="247">
        <v>14.1</v>
      </c>
      <c r="BK994" s="247">
        <v>12.2</v>
      </c>
      <c r="BL994" s="247">
        <v>7</v>
      </c>
      <c r="BM994" s="247">
        <v>3.3</v>
      </c>
      <c r="BN994" s="247">
        <v>1.2</v>
      </c>
      <c r="BO994" s="247">
        <v>0.6</v>
      </c>
      <c r="BP994" s="248">
        <v>5</v>
      </c>
    </row>
    <row r="995" spans="1:68" ht="14.25" customHeight="1">
      <c r="A995" s="233">
        <v>338</v>
      </c>
      <c r="B995" s="234">
        <v>58</v>
      </c>
      <c r="C995" s="244" t="s">
        <v>928</v>
      </c>
      <c r="D995" s="244" t="s">
        <v>1089</v>
      </c>
      <c r="E995" s="244" t="s">
        <v>1954</v>
      </c>
      <c r="F995" s="245">
        <v>-19.899999999999999</v>
      </c>
      <c r="G995" s="245">
        <v>-17.600000000000001</v>
      </c>
      <c r="H995" s="245">
        <v>-10.1</v>
      </c>
      <c r="I995" s="245">
        <v>-1.8</v>
      </c>
      <c r="J995" s="245">
        <v>5.6</v>
      </c>
      <c r="K995" s="245">
        <v>12.1</v>
      </c>
      <c r="L995" s="245">
        <v>14.2</v>
      </c>
      <c r="M995" s="245">
        <v>12</v>
      </c>
      <c r="N995" s="245">
        <v>5.5</v>
      </c>
      <c r="O995" s="245">
        <v>-2.2000000000000002</v>
      </c>
      <c r="P995" s="245">
        <v>-11.8</v>
      </c>
      <c r="Q995" s="245">
        <v>-18.2</v>
      </c>
      <c r="R995" s="246">
        <v>-2.7</v>
      </c>
      <c r="S995" s="233">
        <v>58</v>
      </c>
      <c r="T995" s="247" t="s">
        <v>1955</v>
      </c>
      <c r="U995" s="245">
        <v>-38</v>
      </c>
      <c r="V995" s="245">
        <v>-36</v>
      </c>
      <c r="W995" s="245">
        <v>-36</v>
      </c>
      <c r="X995" s="245">
        <v>-33</v>
      </c>
      <c r="Y995" s="245">
        <v>-25</v>
      </c>
      <c r="Z995" s="245">
        <v>-48</v>
      </c>
      <c r="AA995" s="245">
        <v>16</v>
      </c>
      <c r="AB995" s="245">
        <v>198</v>
      </c>
      <c r="AC995" s="245">
        <v>-12.2</v>
      </c>
      <c r="AD995" s="245">
        <v>266</v>
      </c>
      <c r="AE995" s="245">
        <v>-8.1</v>
      </c>
      <c r="AF995" s="245">
        <v>284</v>
      </c>
      <c r="AG995" s="245">
        <v>-6.9</v>
      </c>
      <c r="AH995" s="245">
        <v>65</v>
      </c>
      <c r="AI995" s="245">
        <v>51</v>
      </c>
      <c r="AJ995" s="245">
        <v>20</v>
      </c>
      <c r="AK995" s="245" t="s">
        <v>950</v>
      </c>
      <c r="AL995" s="245">
        <v>5.2</v>
      </c>
      <c r="AM995" s="246">
        <v>2.5</v>
      </c>
      <c r="AN995" s="235">
        <v>58</v>
      </c>
      <c r="AO995" s="247" t="s">
        <v>1956</v>
      </c>
      <c r="AP995" s="247">
        <v>870</v>
      </c>
      <c r="AQ995" s="247">
        <v>19.3</v>
      </c>
      <c r="AR995" s="247">
        <v>23.6</v>
      </c>
      <c r="AS995" s="247">
        <v>21.7</v>
      </c>
      <c r="AT995" s="247">
        <v>34</v>
      </c>
      <c r="AU995" s="247">
        <v>14.5</v>
      </c>
      <c r="AV995" s="247">
        <v>73</v>
      </c>
      <c r="AW995" s="247">
        <v>52</v>
      </c>
      <c r="AX995" s="247">
        <v>343</v>
      </c>
      <c r="AY995" s="247">
        <v>80</v>
      </c>
      <c r="AZ995" s="247" t="s">
        <v>1038</v>
      </c>
      <c r="BA995" s="248">
        <v>0</v>
      </c>
      <c r="BB995" s="235">
        <v>44</v>
      </c>
      <c r="BC995" s="247" t="s">
        <v>1954</v>
      </c>
      <c r="BD995" s="247">
        <v>0.9</v>
      </c>
      <c r="BE995" s="247">
        <v>1</v>
      </c>
      <c r="BF995" s="247">
        <v>1.6</v>
      </c>
      <c r="BG995" s="247">
        <v>2.6</v>
      </c>
      <c r="BH995" s="247">
        <v>4.5999999999999996</v>
      </c>
      <c r="BI995" s="247">
        <v>8.4</v>
      </c>
      <c r="BJ995" s="247">
        <v>11.3</v>
      </c>
      <c r="BK995" s="247">
        <v>10.199999999999999</v>
      </c>
      <c r="BL995" s="247">
        <v>6</v>
      </c>
      <c r="BM995" s="247">
        <v>3.3</v>
      </c>
      <c r="BN995" s="247">
        <v>1.7</v>
      </c>
      <c r="BO995" s="247">
        <v>1.1000000000000001</v>
      </c>
      <c r="BP995" s="248">
        <v>4.4000000000000004</v>
      </c>
    </row>
    <row r="996" spans="1:68" ht="14.25" customHeight="1">
      <c r="A996" s="233">
        <v>339</v>
      </c>
      <c r="B996" s="234">
        <v>218</v>
      </c>
      <c r="C996" s="244" t="s">
        <v>928</v>
      </c>
      <c r="D996" s="244" t="s">
        <v>1246</v>
      </c>
      <c r="E996" s="244" t="s">
        <v>1957</v>
      </c>
      <c r="F996" s="245">
        <v>-12.8</v>
      </c>
      <c r="G996" s="245">
        <v>-12.7</v>
      </c>
      <c r="H996" s="245">
        <v>-8.6</v>
      </c>
      <c r="I996" s="245">
        <v>-2.5</v>
      </c>
      <c r="J996" s="245">
        <v>3.4</v>
      </c>
      <c r="K996" s="245">
        <v>10.199999999999999</v>
      </c>
      <c r="L996" s="245">
        <v>13.8</v>
      </c>
      <c r="M996" s="245">
        <v>12</v>
      </c>
      <c r="N996" s="245">
        <v>6.6</v>
      </c>
      <c r="O996" s="245">
        <v>0.2</v>
      </c>
      <c r="P996" s="245">
        <v>-5.4</v>
      </c>
      <c r="Q996" s="245">
        <v>-9.6999999999999993</v>
      </c>
      <c r="R996" s="246">
        <v>-0.5</v>
      </c>
      <c r="S996" s="233">
        <v>218</v>
      </c>
      <c r="T996" s="247" t="s">
        <v>1958</v>
      </c>
      <c r="U996" s="245">
        <v>-40</v>
      </c>
      <c r="V996" s="245">
        <v>-38</v>
      </c>
      <c r="W996" s="245">
        <v>-34</v>
      </c>
      <c r="X996" s="245">
        <v>-30</v>
      </c>
      <c r="Y996" s="245">
        <v>-18</v>
      </c>
      <c r="Z996" s="245">
        <v>-44</v>
      </c>
      <c r="AA996" s="245">
        <v>9.5</v>
      </c>
      <c r="AB996" s="245">
        <v>193</v>
      </c>
      <c r="AC996" s="245">
        <v>-7.9</v>
      </c>
      <c r="AD996" s="245">
        <v>271</v>
      </c>
      <c r="AE996" s="245">
        <v>-4.5</v>
      </c>
      <c r="AF996" s="245">
        <v>291</v>
      </c>
      <c r="AG996" s="245">
        <v>-3.6</v>
      </c>
      <c r="AH996" s="245">
        <v>84</v>
      </c>
      <c r="AI996" s="245">
        <v>84</v>
      </c>
      <c r="AJ996" s="245">
        <v>126</v>
      </c>
      <c r="AK996" s="245" t="s">
        <v>963</v>
      </c>
      <c r="AL996" s="245">
        <v>5.7</v>
      </c>
      <c r="AM996" s="246">
        <v>4.3</v>
      </c>
      <c r="AN996" s="235">
        <v>218</v>
      </c>
      <c r="AO996" s="247" t="s">
        <v>1959</v>
      </c>
      <c r="AP996" s="247">
        <v>995</v>
      </c>
      <c r="AQ996" s="247">
        <v>16.3</v>
      </c>
      <c r="AR996" s="247">
        <v>20.8</v>
      </c>
      <c r="AS996" s="247">
        <v>18.7</v>
      </c>
      <c r="AT996" s="247">
        <v>32</v>
      </c>
      <c r="AU996" s="247">
        <v>8.9</v>
      </c>
      <c r="AV996" s="247">
        <v>69</v>
      </c>
      <c r="AW996" s="247">
        <v>58</v>
      </c>
      <c r="AX996" s="247">
        <v>339</v>
      </c>
      <c r="AY996" s="247">
        <v>51</v>
      </c>
      <c r="AZ996" s="247" t="s">
        <v>973</v>
      </c>
      <c r="BA996" s="248">
        <v>0</v>
      </c>
      <c r="BB996" s="235">
        <v>193</v>
      </c>
      <c r="BC996" s="247" t="s">
        <v>1957</v>
      </c>
      <c r="BD996" s="247">
        <v>2.2999999999999998</v>
      </c>
      <c r="BE996" s="247">
        <v>2.2000000000000002</v>
      </c>
      <c r="BF996" s="247">
        <v>2.8</v>
      </c>
      <c r="BG996" s="247">
        <v>3.9</v>
      </c>
      <c r="BH996" s="247">
        <v>5.4</v>
      </c>
      <c r="BI996" s="247">
        <v>8.1999999999999993</v>
      </c>
      <c r="BJ996" s="247">
        <v>10.6</v>
      </c>
      <c r="BK996" s="247">
        <v>10.6</v>
      </c>
      <c r="BL996" s="247">
        <v>7.9</v>
      </c>
      <c r="BM996" s="247">
        <v>5.3</v>
      </c>
      <c r="BN996" s="247">
        <v>3.8</v>
      </c>
      <c r="BO996" s="247">
        <v>2.8</v>
      </c>
      <c r="BP996" s="248">
        <v>5.5</v>
      </c>
    </row>
    <row r="997" spans="1:68" ht="14.25" customHeight="1">
      <c r="A997" s="233">
        <v>340</v>
      </c>
      <c r="B997" s="234">
        <v>212</v>
      </c>
      <c r="C997" s="244" t="s">
        <v>928</v>
      </c>
      <c r="D997" s="244" t="s">
        <v>1451</v>
      </c>
      <c r="E997" s="244" t="s">
        <v>192</v>
      </c>
      <c r="F997" s="245">
        <v>-10.199999999999999</v>
      </c>
      <c r="G997" s="245">
        <v>-9.1999999999999993</v>
      </c>
      <c r="H997" s="245">
        <v>-4.3</v>
      </c>
      <c r="I997" s="245">
        <v>4.4000000000000004</v>
      </c>
      <c r="J997" s="245">
        <v>11.9</v>
      </c>
      <c r="K997" s="245">
        <v>16</v>
      </c>
      <c r="L997" s="245">
        <v>18.100000000000001</v>
      </c>
      <c r="M997" s="245">
        <v>16.3</v>
      </c>
      <c r="N997" s="245">
        <v>10.7</v>
      </c>
      <c r="O997" s="245">
        <v>4.3</v>
      </c>
      <c r="P997" s="245">
        <v>-1.9</v>
      </c>
      <c r="Q997" s="245">
        <v>-7.3</v>
      </c>
      <c r="R997" s="246">
        <v>4.0999999999999996</v>
      </c>
      <c r="S997" s="233">
        <v>212</v>
      </c>
      <c r="T997" s="247" t="s">
        <v>1960</v>
      </c>
      <c r="U997" s="245">
        <v>-36</v>
      </c>
      <c r="V997" s="245">
        <v>-32</v>
      </c>
      <c r="W997" s="245">
        <v>-30</v>
      </c>
      <c r="X997" s="245">
        <v>-28</v>
      </c>
      <c r="Y997" s="245">
        <v>-15</v>
      </c>
      <c r="Z997" s="245">
        <v>-42</v>
      </c>
      <c r="AA997" s="245">
        <v>6.5</v>
      </c>
      <c r="AB997" s="245">
        <v>145</v>
      </c>
      <c r="AC997" s="245">
        <v>-6.5</v>
      </c>
      <c r="AD997" s="245">
        <v>214</v>
      </c>
      <c r="AE997" s="245">
        <v>-3.1</v>
      </c>
      <c r="AF997" s="245">
        <v>231</v>
      </c>
      <c r="AG997" s="245">
        <v>-2.2000000000000002</v>
      </c>
      <c r="AH997" s="245">
        <v>84</v>
      </c>
      <c r="AI997" s="245">
        <v>77</v>
      </c>
      <c r="AJ997" s="245">
        <v>201</v>
      </c>
      <c r="AK997" s="245" t="s">
        <v>971</v>
      </c>
      <c r="AL997" s="245">
        <v>4.9000000000000004</v>
      </c>
      <c r="AM997" s="246">
        <v>3.8</v>
      </c>
      <c r="AN997" s="235">
        <v>212</v>
      </c>
      <c r="AO997" s="247" t="s">
        <v>1961</v>
      </c>
      <c r="AP997" s="247">
        <v>995</v>
      </c>
      <c r="AQ997" s="247">
        <v>22.6</v>
      </c>
      <c r="AR997" s="247">
        <v>26.3</v>
      </c>
      <c r="AS997" s="247">
        <v>23.6</v>
      </c>
      <c r="AT997" s="247">
        <v>37</v>
      </c>
      <c r="AU997" s="247">
        <v>10.5</v>
      </c>
      <c r="AV997" s="247">
        <v>70</v>
      </c>
      <c r="AW997" s="247">
        <v>56</v>
      </c>
      <c r="AX997" s="247">
        <v>443</v>
      </c>
      <c r="AY997" s="247">
        <v>61</v>
      </c>
      <c r="AZ997" s="247" t="s">
        <v>959</v>
      </c>
      <c r="BA997" s="248">
        <v>0</v>
      </c>
      <c r="BB997" s="235">
        <v>187</v>
      </c>
      <c r="BC997" s="247" t="s">
        <v>192</v>
      </c>
      <c r="BD997" s="247">
        <v>2.8</v>
      </c>
      <c r="BE997" s="247">
        <v>2.9</v>
      </c>
      <c r="BF997" s="247">
        <v>3.9</v>
      </c>
      <c r="BG997" s="247">
        <v>6.2</v>
      </c>
      <c r="BH997" s="247">
        <v>9.1</v>
      </c>
      <c r="BI997" s="247">
        <v>12.4</v>
      </c>
      <c r="BJ997" s="247">
        <v>14.7</v>
      </c>
      <c r="BK997" s="247">
        <v>14</v>
      </c>
      <c r="BL997" s="247">
        <v>10.4</v>
      </c>
      <c r="BM997" s="247">
        <v>7</v>
      </c>
      <c r="BN997" s="247">
        <v>5</v>
      </c>
      <c r="BO997" s="247">
        <v>3.6</v>
      </c>
      <c r="BP997" s="248">
        <v>7.7</v>
      </c>
    </row>
    <row r="998" spans="1:68" ht="14.25" customHeight="1">
      <c r="A998" s="233">
        <v>341</v>
      </c>
      <c r="B998" s="234">
        <v>483</v>
      </c>
      <c r="C998" s="244" t="s">
        <v>1068</v>
      </c>
      <c r="D998" s="244" t="s">
        <v>1068</v>
      </c>
      <c r="E998" s="244" t="s">
        <v>1962</v>
      </c>
      <c r="F998" s="245">
        <v>-3.4</v>
      </c>
      <c r="G998" s="245">
        <v>-2.8</v>
      </c>
      <c r="H998" s="245">
        <v>0.3</v>
      </c>
      <c r="I998" s="245">
        <v>6.1</v>
      </c>
      <c r="J998" s="245">
        <v>10.4</v>
      </c>
      <c r="K998" s="245">
        <v>13.5</v>
      </c>
      <c r="L998" s="245">
        <v>16</v>
      </c>
      <c r="M998" s="245">
        <v>15.9</v>
      </c>
      <c r="N998" s="245">
        <v>12.7</v>
      </c>
      <c r="O998" s="245">
        <v>7.7</v>
      </c>
      <c r="P998" s="245">
        <v>3.3</v>
      </c>
      <c r="Q998" s="245">
        <v>0.9</v>
      </c>
      <c r="R998" s="246">
        <v>6.6</v>
      </c>
      <c r="S998" s="233">
        <v>483</v>
      </c>
      <c r="T998" s="247" t="s">
        <v>1963</v>
      </c>
      <c r="U998" s="245">
        <v>-10</v>
      </c>
      <c r="V998" s="245">
        <v>-8</v>
      </c>
      <c r="W998" s="245">
        <v>-7</v>
      </c>
      <c r="X998" s="245">
        <v>-4</v>
      </c>
      <c r="Y998" s="245">
        <v>2</v>
      </c>
      <c r="Z998" s="245">
        <v>-27</v>
      </c>
      <c r="AA998" s="245">
        <v>7.1</v>
      </c>
      <c r="AB998" s="245">
        <v>93</v>
      </c>
      <c r="AC998" s="245">
        <v>-2.2000000000000002</v>
      </c>
      <c r="AD998" s="245">
        <v>195</v>
      </c>
      <c r="AE998" s="245">
        <v>0.8</v>
      </c>
      <c r="AF998" s="245">
        <v>221</v>
      </c>
      <c r="AG998" s="245">
        <v>1.8</v>
      </c>
      <c r="AH998" s="245" t="s">
        <v>956</v>
      </c>
      <c r="AI998" s="245">
        <v>83</v>
      </c>
      <c r="AJ998" s="245">
        <v>624</v>
      </c>
      <c r="AK998" s="245" t="s">
        <v>982</v>
      </c>
      <c r="AL998" s="245" t="s">
        <v>931</v>
      </c>
      <c r="AM998" s="246">
        <v>10</v>
      </c>
      <c r="AN998" s="235">
        <v>483</v>
      </c>
      <c r="AO998" s="247" t="s">
        <v>1964</v>
      </c>
      <c r="AP998" s="247">
        <v>875</v>
      </c>
      <c r="AQ998" s="247">
        <v>20</v>
      </c>
      <c r="AR998" s="247">
        <v>25</v>
      </c>
      <c r="AS998" s="247">
        <v>22</v>
      </c>
      <c r="AT998" s="247">
        <v>32</v>
      </c>
      <c r="AU998" s="247">
        <v>10.6</v>
      </c>
      <c r="AV998" s="247">
        <v>87</v>
      </c>
      <c r="AW998" s="247">
        <v>75</v>
      </c>
      <c r="AX998" s="247" t="s">
        <v>931</v>
      </c>
      <c r="AY998" s="247">
        <v>84</v>
      </c>
      <c r="AZ998" s="247" t="s">
        <v>952</v>
      </c>
      <c r="BA998" s="248">
        <v>2.4</v>
      </c>
      <c r="BB998" s="235"/>
      <c r="BC998" s="247" t="s">
        <v>1963</v>
      </c>
      <c r="BD998" s="247"/>
      <c r="BE998" s="247"/>
      <c r="BF998" s="247"/>
      <c r="BG998" s="247"/>
      <c r="BH998" s="247"/>
      <c r="BI998" s="247"/>
      <c r="BJ998" s="247"/>
      <c r="BK998" s="247"/>
      <c r="BL998" s="247"/>
      <c r="BM998" s="247"/>
      <c r="BN998" s="247"/>
      <c r="BO998" s="247"/>
      <c r="BP998" s="248"/>
    </row>
    <row r="999" spans="1:68" ht="14.25" customHeight="1">
      <c r="A999" s="233">
        <v>342</v>
      </c>
      <c r="B999" s="234">
        <v>591</v>
      </c>
      <c r="C999" s="244" t="s">
        <v>1015</v>
      </c>
      <c r="D999" s="244" t="s">
        <v>1400</v>
      </c>
      <c r="E999" s="244" t="s">
        <v>1965</v>
      </c>
      <c r="F999" s="245">
        <v>1.5</v>
      </c>
      <c r="G999" s="245">
        <v>4</v>
      </c>
      <c r="H999" s="245">
        <v>9.1</v>
      </c>
      <c r="I999" s="245">
        <v>16.7</v>
      </c>
      <c r="J999" s="245">
        <v>23.5</v>
      </c>
      <c r="K999" s="245">
        <v>28.9</v>
      </c>
      <c r="L999" s="245">
        <v>31.8</v>
      </c>
      <c r="M999" s="245">
        <v>29.4</v>
      </c>
      <c r="N999" s="245">
        <v>22.7</v>
      </c>
      <c r="O999" s="245">
        <v>14.6</v>
      </c>
      <c r="P999" s="245">
        <v>7.3</v>
      </c>
      <c r="Q999" s="245">
        <v>2.6</v>
      </c>
      <c r="R999" s="246">
        <v>16</v>
      </c>
      <c r="S999" s="233">
        <v>580</v>
      </c>
      <c r="T999" s="247" t="s">
        <v>1965</v>
      </c>
      <c r="U999" s="245">
        <v>-19</v>
      </c>
      <c r="V999" s="245">
        <v>-16</v>
      </c>
      <c r="W999" s="245">
        <v>-16</v>
      </c>
      <c r="X999" s="245" t="s">
        <v>965</v>
      </c>
      <c r="Y999" s="245">
        <v>-3</v>
      </c>
      <c r="Z999" s="245">
        <v>-27</v>
      </c>
      <c r="AA999" s="245">
        <v>9.9</v>
      </c>
      <c r="AB999" s="245">
        <v>0</v>
      </c>
      <c r="AC999" s="245" t="s">
        <v>830</v>
      </c>
      <c r="AD999" s="245">
        <v>122</v>
      </c>
      <c r="AE999" s="245">
        <v>3.5</v>
      </c>
      <c r="AF999" s="245" t="s">
        <v>933</v>
      </c>
      <c r="AG999" s="245" t="s">
        <v>931</v>
      </c>
      <c r="AH999" s="245" t="s">
        <v>956</v>
      </c>
      <c r="AI999" s="245" t="s">
        <v>956</v>
      </c>
      <c r="AJ999" s="245" t="s">
        <v>1018</v>
      </c>
      <c r="AK999" s="245" t="s">
        <v>931</v>
      </c>
      <c r="AL999" s="245">
        <v>2.8</v>
      </c>
      <c r="AM999" s="246" t="s">
        <v>931</v>
      </c>
      <c r="AN999" s="235">
        <v>581</v>
      </c>
      <c r="AO999" s="247" t="s">
        <v>1966</v>
      </c>
      <c r="AP999" s="247">
        <v>990</v>
      </c>
      <c r="AQ999" s="247">
        <v>37.200000000000003</v>
      </c>
      <c r="AR999" s="247">
        <v>41</v>
      </c>
      <c r="AS999" s="247">
        <v>39.5</v>
      </c>
      <c r="AT999" s="247">
        <v>49</v>
      </c>
      <c r="AU999" s="247">
        <v>17.3</v>
      </c>
      <c r="AV999" s="247" t="s">
        <v>958</v>
      </c>
      <c r="AW999" s="247" t="s">
        <v>931</v>
      </c>
      <c r="AX999" s="247" t="s">
        <v>931</v>
      </c>
      <c r="AY999" s="247" t="s">
        <v>965</v>
      </c>
      <c r="AZ999" s="247" t="s">
        <v>933</v>
      </c>
      <c r="BA999" s="248">
        <v>4.3</v>
      </c>
      <c r="BB999" s="235"/>
      <c r="BC999" s="247" t="s">
        <v>1965</v>
      </c>
      <c r="BD999" s="247"/>
      <c r="BE999" s="247"/>
      <c r="BF999" s="247"/>
      <c r="BG999" s="247"/>
      <c r="BH999" s="247"/>
      <c r="BI999" s="247"/>
      <c r="BJ999" s="247"/>
      <c r="BK999" s="247"/>
      <c r="BL999" s="247"/>
      <c r="BM999" s="247"/>
      <c r="BN999" s="247"/>
      <c r="BO999" s="247"/>
      <c r="BP999" s="248"/>
    </row>
    <row r="1000" spans="1:68" ht="14.25" customHeight="1">
      <c r="A1000" s="233">
        <v>343</v>
      </c>
      <c r="B1000" s="234">
        <v>587</v>
      </c>
      <c r="C1000" s="244" t="s">
        <v>1015</v>
      </c>
      <c r="D1000" s="244" t="s">
        <v>1642</v>
      </c>
      <c r="E1000" s="244" t="s">
        <v>1967</v>
      </c>
      <c r="F1000" s="245">
        <v>-5.9</v>
      </c>
      <c r="G1000" s="245">
        <v>-5.5</v>
      </c>
      <c r="H1000" s="245">
        <v>0.1</v>
      </c>
      <c r="I1000" s="245">
        <v>9.4</v>
      </c>
      <c r="J1000" s="245">
        <v>18.100000000000001</v>
      </c>
      <c r="K1000" s="245">
        <v>23.7</v>
      </c>
      <c r="L1000" s="245">
        <v>26.6</v>
      </c>
      <c r="M1000" s="245">
        <v>25</v>
      </c>
      <c r="N1000" s="245">
        <v>19.100000000000001</v>
      </c>
      <c r="O1000" s="245">
        <v>10.8</v>
      </c>
      <c r="P1000" s="245">
        <v>3.2</v>
      </c>
      <c r="Q1000" s="245">
        <v>-2.4</v>
      </c>
      <c r="R1000" s="246">
        <v>10.199999999999999</v>
      </c>
      <c r="S1000" s="233">
        <v>576</v>
      </c>
      <c r="T1000" s="247" t="s">
        <v>1967</v>
      </c>
      <c r="U1000" s="245">
        <v>-25</v>
      </c>
      <c r="V1000" s="245">
        <v>-23</v>
      </c>
      <c r="W1000" s="245">
        <v>-23</v>
      </c>
      <c r="X1000" s="245" t="s">
        <v>965</v>
      </c>
      <c r="Y1000" s="245">
        <v>-8</v>
      </c>
      <c r="Z1000" s="245" t="s">
        <v>931</v>
      </c>
      <c r="AA1000" s="245">
        <v>6.8</v>
      </c>
      <c r="AB1000" s="245">
        <v>104</v>
      </c>
      <c r="AC1000" s="245" t="s">
        <v>958</v>
      </c>
      <c r="AD1000" s="245">
        <v>167</v>
      </c>
      <c r="AE1000" s="245">
        <v>-1.2</v>
      </c>
      <c r="AF1000" s="245" t="s">
        <v>933</v>
      </c>
      <c r="AG1000" s="245" t="s">
        <v>931</v>
      </c>
      <c r="AH1000" s="245" t="s">
        <v>956</v>
      </c>
      <c r="AI1000" s="245" t="s">
        <v>956</v>
      </c>
      <c r="AJ1000" s="245" t="s">
        <v>1018</v>
      </c>
      <c r="AK1000" s="245" t="s">
        <v>931</v>
      </c>
      <c r="AL1000" s="245">
        <v>4.8</v>
      </c>
      <c r="AM1000" s="246" t="s">
        <v>931</v>
      </c>
      <c r="AN1000" s="235">
        <v>577</v>
      </c>
      <c r="AO1000" s="247" t="s">
        <v>1968</v>
      </c>
      <c r="AP1000" s="247">
        <v>1010</v>
      </c>
      <c r="AQ1000" s="247">
        <v>30.2</v>
      </c>
      <c r="AR1000" s="247">
        <v>35.1</v>
      </c>
      <c r="AS1000" s="247">
        <v>31.8</v>
      </c>
      <c r="AT1000" s="247">
        <v>44</v>
      </c>
      <c r="AU1000" s="247">
        <v>9.6999999999999993</v>
      </c>
      <c r="AV1000" s="247" t="s">
        <v>958</v>
      </c>
      <c r="AW1000" s="247" t="s">
        <v>931</v>
      </c>
      <c r="AX1000" s="247" t="s">
        <v>931</v>
      </c>
      <c r="AY1000" s="247">
        <v>66</v>
      </c>
      <c r="AZ1000" s="247" t="s">
        <v>933</v>
      </c>
      <c r="BA1000" s="248">
        <v>3.4</v>
      </c>
      <c r="BB1000" s="235"/>
      <c r="BC1000" s="247" t="s">
        <v>1967</v>
      </c>
      <c r="BD1000" s="247"/>
      <c r="BE1000" s="247"/>
      <c r="BF1000" s="247"/>
      <c r="BG1000" s="247"/>
      <c r="BH1000" s="247"/>
      <c r="BI1000" s="247"/>
      <c r="BJ1000" s="247"/>
      <c r="BK1000" s="247"/>
      <c r="BL1000" s="247"/>
      <c r="BM1000" s="247"/>
      <c r="BN1000" s="247"/>
      <c r="BO1000" s="247"/>
      <c r="BP1000" s="248"/>
    </row>
    <row r="1001" spans="1:68" ht="14.25" customHeight="1">
      <c r="A1001" s="233">
        <v>344</v>
      </c>
      <c r="B1001" s="234">
        <v>573</v>
      </c>
      <c r="C1001" s="244" t="s">
        <v>1353</v>
      </c>
      <c r="D1001" s="244" t="s">
        <v>1969</v>
      </c>
      <c r="E1001" s="244" t="s">
        <v>1970</v>
      </c>
      <c r="F1001" s="245">
        <v>-17.3</v>
      </c>
      <c r="G1001" s="245">
        <v>-13.5</v>
      </c>
      <c r="H1001" s="245">
        <v>-6.6</v>
      </c>
      <c r="I1001" s="245">
        <v>0.4</v>
      </c>
      <c r="J1001" s="245">
        <v>5.4</v>
      </c>
      <c r="K1001" s="245">
        <v>9.4</v>
      </c>
      <c r="L1001" s="245">
        <v>13.2</v>
      </c>
      <c r="M1001" s="245">
        <v>12.8</v>
      </c>
      <c r="N1001" s="245">
        <v>7.2</v>
      </c>
      <c r="O1001" s="245">
        <v>-0.4</v>
      </c>
      <c r="P1001" s="245">
        <v>-8.6</v>
      </c>
      <c r="Q1001" s="245">
        <v>-15.3</v>
      </c>
      <c r="R1001" s="246">
        <v>-1.1000000000000001</v>
      </c>
      <c r="S1001" s="251"/>
      <c r="T1001" s="247" t="s">
        <v>1971</v>
      </c>
      <c r="U1001" s="247"/>
      <c r="V1001" s="247"/>
      <c r="W1001" s="247"/>
      <c r="X1001" s="247"/>
      <c r="Y1001" s="247"/>
      <c r="Z1001" s="247"/>
      <c r="AA1001" s="247"/>
      <c r="AB1001" s="247"/>
      <c r="AC1001" s="247"/>
      <c r="AD1001" s="247"/>
      <c r="AE1001" s="247"/>
      <c r="AF1001" s="247"/>
      <c r="AG1001" s="247"/>
      <c r="AH1001" s="247"/>
      <c r="AI1001" s="247"/>
      <c r="AJ1001" s="247"/>
      <c r="AK1001" s="247"/>
      <c r="AL1001" s="247"/>
      <c r="AM1001" s="248"/>
      <c r="AN1001" s="235"/>
      <c r="AO1001" s="247" t="s">
        <v>1971</v>
      </c>
      <c r="AP1001" s="247"/>
      <c r="AQ1001" s="247"/>
      <c r="AR1001" s="247"/>
      <c r="AS1001" s="247"/>
      <c r="AT1001" s="247"/>
      <c r="AU1001" s="247"/>
      <c r="AV1001" s="247"/>
      <c r="AW1001" s="247"/>
      <c r="AX1001" s="247"/>
      <c r="AY1001" s="247"/>
      <c r="AZ1001" s="247"/>
      <c r="BA1001" s="248"/>
      <c r="BB1001" s="235"/>
      <c r="BC1001" s="247" t="s">
        <v>1970</v>
      </c>
      <c r="BD1001" s="247"/>
      <c r="BE1001" s="247"/>
      <c r="BF1001" s="247"/>
      <c r="BG1001" s="247"/>
      <c r="BH1001" s="247"/>
      <c r="BI1001" s="247"/>
      <c r="BJ1001" s="247"/>
      <c r="BK1001" s="247"/>
      <c r="BL1001" s="247"/>
      <c r="BM1001" s="247"/>
      <c r="BN1001" s="247"/>
      <c r="BO1001" s="247"/>
      <c r="BP1001" s="248"/>
    </row>
    <row r="1002" spans="1:68" ht="14.25" customHeight="1">
      <c r="A1002" s="233">
        <v>345</v>
      </c>
      <c r="B1002" s="234">
        <v>219</v>
      </c>
      <c r="C1002" s="244" t="s">
        <v>928</v>
      </c>
      <c r="D1002" s="244" t="s">
        <v>1246</v>
      </c>
      <c r="E1002" s="244" t="s">
        <v>194</v>
      </c>
      <c r="F1002" s="245">
        <v>-10.5</v>
      </c>
      <c r="G1002" s="245">
        <v>-10.8</v>
      </c>
      <c r="H1002" s="245">
        <v>-6.9</v>
      </c>
      <c r="I1002" s="245">
        <v>-1.6</v>
      </c>
      <c r="J1002" s="245">
        <v>3.4</v>
      </c>
      <c r="K1002" s="245">
        <v>9.3000000000000007</v>
      </c>
      <c r="L1002" s="245">
        <v>12.6</v>
      </c>
      <c r="M1002" s="245">
        <v>11.3</v>
      </c>
      <c r="N1002" s="245">
        <v>6.6</v>
      </c>
      <c r="O1002" s="245">
        <v>0.7</v>
      </c>
      <c r="P1002" s="245">
        <v>-4.2</v>
      </c>
      <c r="Q1002" s="245">
        <v>-7.8</v>
      </c>
      <c r="R1002" s="246">
        <v>0.2</v>
      </c>
      <c r="S1002" s="233">
        <v>219</v>
      </c>
      <c r="T1002" s="247" t="s">
        <v>1972</v>
      </c>
      <c r="U1002" s="245">
        <v>-35</v>
      </c>
      <c r="V1002" s="245">
        <v>-32</v>
      </c>
      <c r="W1002" s="245">
        <v>-29</v>
      </c>
      <c r="X1002" s="245">
        <v>-27</v>
      </c>
      <c r="Y1002" s="245">
        <v>-16</v>
      </c>
      <c r="Z1002" s="245">
        <v>-39</v>
      </c>
      <c r="AA1002" s="245">
        <v>6.2</v>
      </c>
      <c r="AB1002" s="245">
        <v>187</v>
      </c>
      <c r="AC1002" s="245">
        <v>-6.6</v>
      </c>
      <c r="AD1002" s="245">
        <v>275</v>
      </c>
      <c r="AE1002" s="245">
        <v>-3.2</v>
      </c>
      <c r="AF1002" s="245">
        <v>302</v>
      </c>
      <c r="AG1002" s="245">
        <v>-2.1</v>
      </c>
      <c r="AH1002" s="245">
        <v>84</v>
      </c>
      <c r="AI1002" s="245">
        <v>81</v>
      </c>
      <c r="AJ1002" s="245">
        <v>166</v>
      </c>
      <c r="AK1002" s="245" t="s">
        <v>963</v>
      </c>
      <c r="AL1002" s="245">
        <v>7.5</v>
      </c>
      <c r="AM1002" s="246">
        <v>5.6</v>
      </c>
      <c r="AN1002" s="235">
        <v>219</v>
      </c>
      <c r="AO1002" s="247" t="s">
        <v>1973</v>
      </c>
      <c r="AP1002" s="247">
        <v>1005</v>
      </c>
      <c r="AQ1002" s="247">
        <v>15.8</v>
      </c>
      <c r="AR1002" s="247">
        <v>21.5</v>
      </c>
      <c r="AS1002" s="247">
        <v>17.5</v>
      </c>
      <c r="AT1002" s="247">
        <v>33</v>
      </c>
      <c r="AU1002" s="247">
        <v>8.8000000000000007</v>
      </c>
      <c r="AV1002" s="247">
        <v>73</v>
      </c>
      <c r="AW1002" s="247">
        <v>61</v>
      </c>
      <c r="AX1002" s="247">
        <v>322</v>
      </c>
      <c r="AY1002" s="247">
        <v>58</v>
      </c>
      <c r="AZ1002" s="247" t="s">
        <v>1005</v>
      </c>
      <c r="BA1002" s="248">
        <v>3.8</v>
      </c>
      <c r="BB1002" s="235">
        <v>194</v>
      </c>
      <c r="BC1002" s="247" t="s">
        <v>194</v>
      </c>
      <c r="BD1002" s="247">
        <v>2.6</v>
      </c>
      <c r="BE1002" s="247">
        <v>2.5</v>
      </c>
      <c r="BF1002" s="247">
        <v>3.1</v>
      </c>
      <c r="BG1002" s="247">
        <v>3.9</v>
      </c>
      <c r="BH1002" s="247">
        <v>5.4</v>
      </c>
      <c r="BI1002" s="247">
        <v>7.9</v>
      </c>
      <c r="BJ1002" s="247">
        <v>10.1</v>
      </c>
      <c r="BK1002" s="247">
        <v>10.199999999999999</v>
      </c>
      <c r="BL1002" s="247">
        <v>7.8</v>
      </c>
      <c r="BM1002" s="247">
        <v>5.4</v>
      </c>
      <c r="BN1002" s="247">
        <v>4</v>
      </c>
      <c r="BO1002" s="247">
        <v>3.1</v>
      </c>
      <c r="BP1002" s="248">
        <v>5.6</v>
      </c>
    </row>
    <row r="1003" spans="1:68" ht="14.25" customHeight="1">
      <c r="A1003" s="233">
        <v>346</v>
      </c>
      <c r="B1003" s="234">
        <v>65</v>
      </c>
      <c r="C1003" s="244" t="s">
        <v>928</v>
      </c>
      <c r="D1003" s="244" t="s">
        <v>1313</v>
      </c>
      <c r="E1003" s="244" t="s">
        <v>1974</v>
      </c>
      <c r="F1003" s="245">
        <v>-11.5</v>
      </c>
      <c r="G1003" s="245">
        <v>-10.9</v>
      </c>
      <c r="H1003" s="245">
        <v>-4.9000000000000004</v>
      </c>
      <c r="I1003" s="245">
        <v>4.7</v>
      </c>
      <c r="J1003" s="245">
        <v>12.5</v>
      </c>
      <c r="K1003" s="245">
        <v>16.7</v>
      </c>
      <c r="L1003" s="245">
        <v>18.7</v>
      </c>
      <c r="M1003" s="245">
        <v>17.2</v>
      </c>
      <c r="N1003" s="245">
        <v>11.3</v>
      </c>
      <c r="O1003" s="245">
        <v>4.0999999999999996</v>
      </c>
      <c r="P1003" s="245">
        <v>-2.2999999999999998</v>
      </c>
      <c r="Q1003" s="245">
        <v>-8.1999999999999993</v>
      </c>
      <c r="R1003" s="246">
        <v>4</v>
      </c>
      <c r="S1003" s="233">
        <v>65</v>
      </c>
      <c r="T1003" s="247" t="s">
        <v>1975</v>
      </c>
      <c r="U1003" s="245">
        <v>-39</v>
      </c>
      <c r="V1003" s="245">
        <v>-35</v>
      </c>
      <c r="W1003" s="245">
        <v>-33</v>
      </c>
      <c r="X1003" s="245">
        <v>-30</v>
      </c>
      <c r="Y1003" s="245">
        <v>-16</v>
      </c>
      <c r="Z1003" s="245">
        <v>-45</v>
      </c>
      <c r="AA1003" s="245">
        <v>6.4</v>
      </c>
      <c r="AB1003" s="245">
        <v>150</v>
      </c>
      <c r="AC1003" s="245">
        <v>-7.4</v>
      </c>
      <c r="AD1003" s="245">
        <v>214</v>
      </c>
      <c r="AE1003" s="245">
        <v>-4</v>
      </c>
      <c r="AF1003" s="245">
        <v>230</v>
      </c>
      <c r="AG1003" s="245">
        <v>-3.1</v>
      </c>
      <c r="AH1003" s="245">
        <v>84</v>
      </c>
      <c r="AI1003" s="245">
        <v>83</v>
      </c>
      <c r="AJ1003" s="245">
        <v>166</v>
      </c>
      <c r="AK1003" s="245" t="s">
        <v>963</v>
      </c>
      <c r="AL1003" s="245" t="s">
        <v>931</v>
      </c>
      <c r="AM1003" s="246">
        <v>4.0999999999999996</v>
      </c>
      <c r="AN1003" s="235">
        <v>65</v>
      </c>
      <c r="AO1003" s="247" t="s">
        <v>1976</v>
      </c>
      <c r="AP1003" s="247">
        <v>1000</v>
      </c>
      <c r="AQ1003" s="247">
        <v>22.7</v>
      </c>
      <c r="AR1003" s="247">
        <v>26.8</v>
      </c>
      <c r="AS1003" s="247">
        <v>23.3</v>
      </c>
      <c r="AT1003" s="247">
        <v>37</v>
      </c>
      <c r="AU1003" s="247">
        <v>10.6</v>
      </c>
      <c r="AV1003" s="247">
        <v>70</v>
      </c>
      <c r="AW1003" s="247">
        <v>53</v>
      </c>
      <c r="AX1003" s="247">
        <v>383</v>
      </c>
      <c r="AY1003" s="247">
        <v>69</v>
      </c>
      <c r="AZ1003" s="247" t="s">
        <v>978</v>
      </c>
      <c r="BA1003" s="248" t="s">
        <v>934</v>
      </c>
      <c r="BB1003" s="235">
        <v>51</v>
      </c>
      <c r="BC1003" s="247" t="s">
        <v>1974</v>
      </c>
      <c r="BD1003" s="247">
        <v>2.6</v>
      </c>
      <c r="BE1003" s="247">
        <v>2.6</v>
      </c>
      <c r="BF1003" s="247">
        <v>3.7</v>
      </c>
      <c r="BG1003" s="247">
        <v>6.3</v>
      </c>
      <c r="BH1003" s="247">
        <v>9.1999999999999993</v>
      </c>
      <c r="BI1003" s="247">
        <v>12.5</v>
      </c>
      <c r="BJ1003" s="247">
        <v>15</v>
      </c>
      <c r="BK1003" s="247">
        <v>14</v>
      </c>
      <c r="BL1003" s="247">
        <v>10.3</v>
      </c>
      <c r="BM1003" s="247">
        <v>6.8</v>
      </c>
      <c r="BN1003" s="247">
        <v>4.8</v>
      </c>
      <c r="BO1003" s="247">
        <v>3.4</v>
      </c>
      <c r="BP1003" s="248">
        <v>7.6</v>
      </c>
    </row>
    <row r="1004" spans="1:68" ht="14.25" customHeight="1">
      <c r="A1004" s="233">
        <v>347</v>
      </c>
      <c r="B1004" s="234">
        <v>592</v>
      </c>
      <c r="C1004" s="244" t="s">
        <v>1015</v>
      </c>
      <c r="D1004" s="244" t="s">
        <v>1977</v>
      </c>
      <c r="E1004" s="244" t="s">
        <v>1978</v>
      </c>
      <c r="F1004" s="245">
        <v>0.9</v>
      </c>
      <c r="G1004" s="245">
        <v>3.6</v>
      </c>
      <c r="H1004" s="245">
        <v>8.4</v>
      </c>
      <c r="I1004" s="245">
        <v>15.8</v>
      </c>
      <c r="J1004" s="245">
        <v>21.7</v>
      </c>
      <c r="K1004" s="245">
        <v>26.3</v>
      </c>
      <c r="L1004" s="245">
        <v>28.3</v>
      </c>
      <c r="M1004" s="245">
        <v>25.9</v>
      </c>
      <c r="N1004" s="245">
        <v>19.899999999999999</v>
      </c>
      <c r="O1004" s="245">
        <v>13.3</v>
      </c>
      <c r="P1004" s="245">
        <v>7.1</v>
      </c>
      <c r="Q1004" s="245">
        <v>2.7</v>
      </c>
      <c r="R1004" s="246">
        <v>14.5</v>
      </c>
      <c r="S1004" s="233">
        <v>581</v>
      </c>
      <c r="T1004" s="247" t="s">
        <v>1978</v>
      </c>
      <c r="U1004" s="245">
        <v>-18</v>
      </c>
      <c r="V1004" s="245">
        <v>-16</v>
      </c>
      <c r="W1004" s="245">
        <v>-16</v>
      </c>
      <c r="X1004" s="245" t="s">
        <v>965</v>
      </c>
      <c r="Y1004" s="245">
        <v>-2</v>
      </c>
      <c r="Z1004" s="245">
        <v>-28</v>
      </c>
      <c r="AA1004" s="245">
        <v>9</v>
      </c>
      <c r="AB1004" s="245">
        <v>0</v>
      </c>
      <c r="AC1004" s="245" t="s">
        <v>830</v>
      </c>
      <c r="AD1004" s="245">
        <v>123</v>
      </c>
      <c r="AE1004" s="245">
        <v>3.5</v>
      </c>
      <c r="AF1004" s="245" t="s">
        <v>933</v>
      </c>
      <c r="AG1004" s="245" t="s">
        <v>931</v>
      </c>
      <c r="AH1004" s="245" t="s">
        <v>956</v>
      </c>
      <c r="AI1004" s="245" t="s">
        <v>956</v>
      </c>
      <c r="AJ1004" s="245" t="s">
        <v>1018</v>
      </c>
      <c r="AK1004" s="245" t="s">
        <v>931</v>
      </c>
      <c r="AL1004" s="245">
        <v>3.6</v>
      </c>
      <c r="AM1004" s="246" t="s">
        <v>931</v>
      </c>
      <c r="AN1004" s="235">
        <v>582</v>
      </c>
      <c r="AO1004" s="247" t="s">
        <v>1979</v>
      </c>
      <c r="AP1004" s="247">
        <v>970</v>
      </c>
      <c r="AQ1004" s="247">
        <v>33.9</v>
      </c>
      <c r="AR1004" s="247">
        <v>38.200000000000003</v>
      </c>
      <c r="AS1004" s="247">
        <v>36</v>
      </c>
      <c r="AT1004" s="247">
        <v>46</v>
      </c>
      <c r="AU1004" s="247">
        <v>17.100000000000001</v>
      </c>
      <c r="AV1004" s="247" t="s">
        <v>958</v>
      </c>
      <c r="AW1004" s="247" t="s">
        <v>931</v>
      </c>
      <c r="AX1004" s="247" t="s">
        <v>931</v>
      </c>
      <c r="AY1004" s="247">
        <v>38</v>
      </c>
      <c r="AZ1004" s="247" t="s">
        <v>933</v>
      </c>
      <c r="BA1004" s="248">
        <v>0</v>
      </c>
      <c r="BB1004" s="235"/>
      <c r="BC1004" s="247" t="s">
        <v>1978</v>
      </c>
      <c r="BD1004" s="247"/>
      <c r="BE1004" s="247"/>
      <c r="BF1004" s="247"/>
      <c r="BG1004" s="247"/>
      <c r="BH1004" s="247"/>
      <c r="BI1004" s="247"/>
      <c r="BJ1004" s="247"/>
      <c r="BK1004" s="247"/>
      <c r="BL1004" s="247"/>
      <c r="BM1004" s="247"/>
      <c r="BN1004" s="247"/>
      <c r="BO1004" s="247"/>
      <c r="BP1004" s="248"/>
    </row>
    <row r="1005" spans="1:68" ht="14.25" customHeight="1">
      <c r="A1005" s="233">
        <v>348</v>
      </c>
      <c r="B1005" s="234">
        <v>422</v>
      </c>
      <c r="C1005" s="244" t="s">
        <v>928</v>
      </c>
      <c r="D1005" s="244" t="s">
        <v>969</v>
      </c>
      <c r="E1005" s="244" t="s">
        <v>1980</v>
      </c>
      <c r="F1005" s="245">
        <v>-29.6</v>
      </c>
      <c r="G1005" s="245">
        <v>-26.4</v>
      </c>
      <c r="H1005" s="245">
        <v>-18</v>
      </c>
      <c r="I1005" s="245">
        <v>-7</v>
      </c>
      <c r="J1005" s="245">
        <v>3.2</v>
      </c>
      <c r="K1005" s="245">
        <v>11.5</v>
      </c>
      <c r="L1005" s="245">
        <v>14.9</v>
      </c>
      <c r="M1005" s="245">
        <v>11.8</v>
      </c>
      <c r="N1005" s="245">
        <v>4.3</v>
      </c>
      <c r="O1005" s="245">
        <v>-7.7</v>
      </c>
      <c r="P1005" s="245">
        <v>-22.1</v>
      </c>
      <c r="Q1005" s="245">
        <v>-29</v>
      </c>
      <c r="R1005" s="246">
        <v>-7.8</v>
      </c>
      <c r="S1005" s="233">
        <v>422</v>
      </c>
      <c r="T1005" s="247" t="s">
        <v>1980</v>
      </c>
      <c r="U1005" s="245">
        <v>-48</v>
      </c>
      <c r="V1005" s="245">
        <v>-46</v>
      </c>
      <c r="W1005" s="245">
        <v>-44</v>
      </c>
      <c r="X1005" s="245">
        <v>-41</v>
      </c>
      <c r="Y1005" s="245">
        <v>-35</v>
      </c>
      <c r="Z1005" s="245">
        <v>-57</v>
      </c>
      <c r="AA1005" s="245">
        <v>9.6</v>
      </c>
      <c r="AB1005" s="245">
        <v>222</v>
      </c>
      <c r="AC1005" s="245">
        <v>-18.7</v>
      </c>
      <c r="AD1005" s="245">
        <v>275</v>
      </c>
      <c r="AE1005" s="245">
        <v>-14.2</v>
      </c>
      <c r="AF1005" s="245">
        <v>291</v>
      </c>
      <c r="AG1005" s="245">
        <v>-13</v>
      </c>
      <c r="AH1005" s="245">
        <v>74</v>
      </c>
      <c r="AI1005" s="245">
        <v>71</v>
      </c>
      <c r="AJ1005" s="245">
        <v>46</v>
      </c>
      <c r="AK1005" s="245" t="s">
        <v>996</v>
      </c>
      <c r="AL1005" s="245">
        <v>6.6</v>
      </c>
      <c r="AM1005" s="246">
        <v>3</v>
      </c>
      <c r="AN1005" s="235">
        <v>422</v>
      </c>
      <c r="AO1005" s="247" t="s">
        <v>1981</v>
      </c>
      <c r="AP1005" s="247">
        <v>910</v>
      </c>
      <c r="AQ1005" s="247">
        <v>19.7</v>
      </c>
      <c r="AR1005" s="247">
        <v>24</v>
      </c>
      <c r="AS1005" s="247">
        <v>22.1</v>
      </c>
      <c r="AT1005" s="247">
        <v>37</v>
      </c>
      <c r="AU1005" s="247">
        <v>14.1</v>
      </c>
      <c r="AV1005" s="247">
        <v>74</v>
      </c>
      <c r="AW1005" s="247">
        <v>57</v>
      </c>
      <c r="AX1005" s="247">
        <v>542</v>
      </c>
      <c r="AY1005" s="247">
        <v>67</v>
      </c>
      <c r="AZ1005" s="247" t="s">
        <v>1005</v>
      </c>
      <c r="BA1005" s="248">
        <v>0</v>
      </c>
      <c r="BB1005" s="235">
        <v>385</v>
      </c>
      <c r="BC1005" s="247" t="s">
        <v>1980</v>
      </c>
      <c r="BD1005" s="247">
        <v>0.5</v>
      </c>
      <c r="BE1005" s="247">
        <v>0.6</v>
      </c>
      <c r="BF1005" s="247">
        <v>1.1000000000000001</v>
      </c>
      <c r="BG1005" s="247">
        <v>2.5</v>
      </c>
      <c r="BH1005" s="247">
        <v>4.5999999999999996</v>
      </c>
      <c r="BI1005" s="247">
        <v>8.9</v>
      </c>
      <c r="BJ1005" s="247">
        <v>12.2</v>
      </c>
      <c r="BK1005" s="247">
        <v>10.7</v>
      </c>
      <c r="BL1005" s="247">
        <v>6.3</v>
      </c>
      <c r="BM1005" s="247">
        <v>2.7</v>
      </c>
      <c r="BN1005" s="247">
        <v>0.9</v>
      </c>
      <c r="BO1005" s="247">
        <v>0.5</v>
      </c>
      <c r="BP1005" s="248">
        <v>4.3</v>
      </c>
    </row>
    <row r="1006" spans="1:68" ht="14.25" customHeight="1">
      <c r="A1006" s="233">
        <v>349</v>
      </c>
      <c r="B1006" s="234">
        <v>148</v>
      </c>
      <c r="C1006" s="244" t="s">
        <v>928</v>
      </c>
      <c r="D1006" s="244" t="s">
        <v>1704</v>
      </c>
      <c r="E1006" s="244" t="s">
        <v>1982</v>
      </c>
      <c r="F1006" s="245">
        <v>-14.9</v>
      </c>
      <c r="G1006" s="245">
        <v>-13.7</v>
      </c>
      <c r="H1006" s="245">
        <v>-7.1</v>
      </c>
      <c r="I1006" s="245">
        <v>1.6</v>
      </c>
      <c r="J1006" s="245">
        <v>9</v>
      </c>
      <c r="K1006" s="245">
        <v>14.6</v>
      </c>
      <c r="L1006" s="245">
        <v>16.899999999999999</v>
      </c>
      <c r="M1006" s="245">
        <v>14.8</v>
      </c>
      <c r="N1006" s="245">
        <v>8.5</v>
      </c>
      <c r="O1006" s="245">
        <v>0.8</v>
      </c>
      <c r="P1006" s="245">
        <v>-6</v>
      </c>
      <c r="Q1006" s="245">
        <v>-12.5</v>
      </c>
      <c r="R1006" s="246">
        <v>1</v>
      </c>
      <c r="S1006" s="233">
        <v>148</v>
      </c>
      <c r="T1006" s="247" t="s">
        <v>1983</v>
      </c>
      <c r="U1006" s="245">
        <v>-42</v>
      </c>
      <c r="V1006" s="245">
        <v>-38</v>
      </c>
      <c r="W1006" s="245">
        <v>-36</v>
      </c>
      <c r="X1006" s="245">
        <v>-34</v>
      </c>
      <c r="Y1006" s="245">
        <v>-20</v>
      </c>
      <c r="Z1006" s="245">
        <v>-47</v>
      </c>
      <c r="AA1006" s="245">
        <v>6.3</v>
      </c>
      <c r="AB1006" s="245">
        <v>174</v>
      </c>
      <c r="AC1006" s="245">
        <v>-9.5</v>
      </c>
      <c r="AD1006" s="245">
        <v>239</v>
      </c>
      <c r="AE1006" s="245">
        <v>-5.8</v>
      </c>
      <c r="AF1006" s="245">
        <v>258</v>
      </c>
      <c r="AG1006" s="245">
        <v>-4.7</v>
      </c>
      <c r="AH1006" s="245">
        <v>87</v>
      </c>
      <c r="AI1006" s="245">
        <v>87</v>
      </c>
      <c r="AJ1006" s="245">
        <v>172</v>
      </c>
      <c r="AK1006" s="245" t="s">
        <v>963</v>
      </c>
      <c r="AL1006" s="245" t="s">
        <v>931</v>
      </c>
      <c r="AM1006" s="246">
        <v>4.4000000000000004</v>
      </c>
      <c r="AN1006" s="235">
        <v>148</v>
      </c>
      <c r="AO1006" s="247" t="s">
        <v>1984</v>
      </c>
      <c r="AP1006" s="247">
        <v>985</v>
      </c>
      <c r="AQ1006" s="247">
        <v>19.899999999999999</v>
      </c>
      <c r="AR1006" s="247">
        <v>24.2</v>
      </c>
      <c r="AS1006" s="247">
        <v>22.2</v>
      </c>
      <c r="AT1006" s="247">
        <v>35</v>
      </c>
      <c r="AU1006" s="247">
        <v>10.3</v>
      </c>
      <c r="AV1006" s="247">
        <v>73</v>
      </c>
      <c r="AW1006" s="247">
        <v>58</v>
      </c>
      <c r="AX1006" s="247">
        <v>433</v>
      </c>
      <c r="AY1006" s="247" t="s">
        <v>965</v>
      </c>
      <c r="AZ1006" s="247" t="s">
        <v>959</v>
      </c>
      <c r="BA1006" s="248" t="s">
        <v>934</v>
      </c>
      <c r="BB1006" s="235">
        <v>129</v>
      </c>
      <c r="BC1006" s="247" t="s">
        <v>1982</v>
      </c>
      <c r="BD1006" s="247">
        <v>2.1</v>
      </c>
      <c r="BE1006" s="247">
        <v>2.1</v>
      </c>
      <c r="BF1006" s="247">
        <v>3.1</v>
      </c>
      <c r="BG1006" s="247">
        <v>5</v>
      </c>
      <c r="BH1006" s="247">
        <v>7.4</v>
      </c>
      <c r="BI1006" s="247">
        <v>11</v>
      </c>
      <c r="BJ1006" s="247">
        <v>13.9</v>
      </c>
      <c r="BK1006" s="247">
        <v>12.7</v>
      </c>
      <c r="BL1006" s="247">
        <v>9.3000000000000007</v>
      </c>
      <c r="BM1006" s="247">
        <v>5.8</v>
      </c>
      <c r="BN1006" s="247">
        <v>3.8</v>
      </c>
      <c r="BO1006" s="247">
        <v>2.6</v>
      </c>
      <c r="BP1006" s="248">
        <v>6.6</v>
      </c>
    </row>
    <row r="1007" spans="1:68" ht="14.25" customHeight="1">
      <c r="A1007" s="233">
        <v>350</v>
      </c>
      <c r="B1007" s="234">
        <v>329</v>
      </c>
      <c r="C1007" s="244" t="s">
        <v>928</v>
      </c>
      <c r="D1007" s="244" t="s">
        <v>1161</v>
      </c>
      <c r="E1007" s="244" t="s">
        <v>1985</v>
      </c>
      <c r="F1007" s="245">
        <v>-24.5</v>
      </c>
      <c r="G1007" s="245">
        <v>-24</v>
      </c>
      <c r="H1007" s="245">
        <v>-16.8</v>
      </c>
      <c r="I1007" s="245">
        <v>-8.8000000000000007</v>
      </c>
      <c r="J1007" s="245">
        <v>-1</v>
      </c>
      <c r="K1007" s="245">
        <v>8.8000000000000007</v>
      </c>
      <c r="L1007" s="245">
        <v>15.5</v>
      </c>
      <c r="M1007" s="245">
        <v>11.4</v>
      </c>
      <c r="N1007" s="245">
        <v>5.6</v>
      </c>
      <c r="O1007" s="245">
        <v>-5.4</v>
      </c>
      <c r="P1007" s="245">
        <v>-16.100000000000001</v>
      </c>
      <c r="Q1007" s="245">
        <v>-21.9</v>
      </c>
      <c r="R1007" s="246">
        <v>-6.4</v>
      </c>
      <c r="S1007" s="233">
        <v>329</v>
      </c>
      <c r="T1007" s="247" t="s">
        <v>1986</v>
      </c>
      <c r="U1007" s="245">
        <v>-53</v>
      </c>
      <c r="V1007" s="245">
        <v>-49</v>
      </c>
      <c r="W1007" s="245">
        <v>-47</v>
      </c>
      <c r="X1007" s="245">
        <v>-44</v>
      </c>
      <c r="Y1007" s="245">
        <v>-30</v>
      </c>
      <c r="Z1007" s="245">
        <v>-58</v>
      </c>
      <c r="AA1007" s="245">
        <v>9.6</v>
      </c>
      <c r="AB1007" s="245">
        <v>230</v>
      </c>
      <c r="AC1007" s="245">
        <v>-15.3</v>
      </c>
      <c r="AD1007" s="245">
        <v>283</v>
      </c>
      <c r="AE1007" s="245">
        <v>-11.6</v>
      </c>
      <c r="AF1007" s="245">
        <v>302</v>
      </c>
      <c r="AG1007" s="245">
        <v>-10.4</v>
      </c>
      <c r="AH1007" s="245">
        <v>78</v>
      </c>
      <c r="AI1007" s="245">
        <v>78</v>
      </c>
      <c r="AJ1007" s="245">
        <v>118</v>
      </c>
      <c r="AK1007" s="245" t="s">
        <v>971</v>
      </c>
      <c r="AL1007" s="245" t="s">
        <v>931</v>
      </c>
      <c r="AM1007" s="246" t="s">
        <v>931</v>
      </c>
      <c r="AN1007" s="235">
        <v>329</v>
      </c>
      <c r="AO1007" s="247" t="s">
        <v>1987</v>
      </c>
      <c r="AP1007" s="247">
        <v>1010</v>
      </c>
      <c r="AQ1007" s="247">
        <v>18.5</v>
      </c>
      <c r="AR1007" s="247">
        <v>22.8</v>
      </c>
      <c r="AS1007" s="247">
        <v>20.9</v>
      </c>
      <c r="AT1007" s="247">
        <v>35</v>
      </c>
      <c r="AU1007" s="247">
        <v>10.5</v>
      </c>
      <c r="AV1007" s="247">
        <v>70</v>
      </c>
      <c r="AW1007" s="247">
        <v>55</v>
      </c>
      <c r="AX1007" s="247">
        <v>366</v>
      </c>
      <c r="AY1007" s="247" t="s">
        <v>965</v>
      </c>
      <c r="AZ1007" s="247" t="s">
        <v>1005</v>
      </c>
      <c r="BA1007" s="248" t="s">
        <v>934</v>
      </c>
      <c r="BB1007" s="235">
        <v>297</v>
      </c>
      <c r="BC1007" s="247" t="s">
        <v>1985</v>
      </c>
      <c r="BD1007" s="247">
        <v>1</v>
      </c>
      <c r="BE1007" s="247">
        <v>1</v>
      </c>
      <c r="BF1007" s="247">
        <v>1.7</v>
      </c>
      <c r="BG1007" s="247">
        <v>2.8</v>
      </c>
      <c r="BH1007" s="247">
        <v>4.4000000000000004</v>
      </c>
      <c r="BI1007" s="247">
        <v>8.1</v>
      </c>
      <c r="BJ1007" s="247">
        <v>12.2</v>
      </c>
      <c r="BK1007" s="247">
        <v>10.6</v>
      </c>
      <c r="BL1007" s="247">
        <v>7.8</v>
      </c>
      <c r="BM1007" s="247">
        <v>3.9</v>
      </c>
      <c r="BN1007" s="247">
        <v>2</v>
      </c>
      <c r="BO1007" s="247">
        <v>1.2</v>
      </c>
      <c r="BP1007" s="248">
        <v>4.7</v>
      </c>
    </row>
    <row r="1008" spans="1:68" ht="14.25" customHeight="1">
      <c r="A1008" s="233">
        <v>351</v>
      </c>
      <c r="B1008" s="234">
        <v>98</v>
      </c>
      <c r="C1008" s="244" t="s">
        <v>928</v>
      </c>
      <c r="D1008" s="244" t="s">
        <v>1001</v>
      </c>
      <c r="E1008" s="244" t="s">
        <v>1988</v>
      </c>
      <c r="F1008" s="245">
        <v>-35.1</v>
      </c>
      <c r="G1008" s="245">
        <v>-31.3</v>
      </c>
      <c r="H1008" s="245">
        <v>-18.399999999999999</v>
      </c>
      <c r="I1008" s="245">
        <v>-6.5</v>
      </c>
      <c r="J1008" s="245">
        <v>3.8</v>
      </c>
      <c r="K1008" s="245">
        <v>13.3</v>
      </c>
      <c r="L1008" s="245">
        <v>16.7</v>
      </c>
      <c r="M1008" s="245">
        <v>12.6</v>
      </c>
      <c r="N1008" s="245">
        <v>4.8</v>
      </c>
      <c r="O1008" s="245">
        <v>-6.5</v>
      </c>
      <c r="P1008" s="245">
        <v>-24.8</v>
      </c>
      <c r="Q1008" s="245">
        <v>-33.700000000000003</v>
      </c>
      <c r="R1008" s="246">
        <v>-8.8000000000000007</v>
      </c>
      <c r="S1008" s="233">
        <v>98</v>
      </c>
      <c r="T1008" s="247" t="s">
        <v>1989</v>
      </c>
      <c r="U1008" s="245">
        <v>-59</v>
      </c>
      <c r="V1008" s="245">
        <v>-57</v>
      </c>
      <c r="W1008" s="245">
        <v>-56</v>
      </c>
      <c r="X1008" s="245">
        <v>-54</v>
      </c>
      <c r="Y1008" s="245">
        <v>-40</v>
      </c>
      <c r="Z1008" s="245">
        <v>-61</v>
      </c>
      <c r="AA1008" s="245">
        <v>11.7</v>
      </c>
      <c r="AB1008" s="245">
        <v>218</v>
      </c>
      <c r="AC1008" s="245">
        <v>-21.3</v>
      </c>
      <c r="AD1008" s="245">
        <v>268</v>
      </c>
      <c r="AE1008" s="245">
        <v>-16.5</v>
      </c>
      <c r="AF1008" s="245">
        <v>283</v>
      </c>
      <c r="AG1008" s="245">
        <v>-15.2</v>
      </c>
      <c r="AH1008" s="245">
        <v>77</v>
      </c>
      <c r="AI1008" s="245">
        <v>77</v>
      </c>
      <c r="AJ1008" s="245">
        <v>94</v>
      </c>
      <c r="AK1008" s="245" t="s">
        <v>931</v>
      </c>
      <c r="AL1008" s="245" t="s">
        <v>931</v>
      </c>
      <c r="AM1008" s="246">
        <v>1.8</v>
      </c>
      <c r="AN1008" s="235">
        <v>98</v>
      </c>
      <c r="AO1008" s="247" t="s">
        <v>1990</v>
      </c>
      <c r="AP1008" s="247">
        <v>975</v>
      </c>
      <c r="AQ1008" s="247">
        <v>21.5</v>
      </c>
      <c r="AR1008" s="247">
        <v>25.7</v>
      </c>
      <c r="AS1008" s="247">
        <v>23.9</v>
      </c>
      <c r="AT1008" s="247">
        <v>37</v>
      </c>
      <c r="AU1008" s="247">
        <v>15.1</v>
      </c>
      <c r="AV1008" s="247">
        <v>69</v>
      </c>
      <c r="AW1008" s="247">
        <v>50</v>
      </c>
      <c r="AX1008" s="247">
        <v>308</v>
      </c>
      <c r="AY1008" s="247" t="s">
        <v>965</v>
      </c>
      <c r="AZ1008" s="247" t="s">
        <v>933</v>
      </c>
      <c r="BA1008" s="248" t="s">
        <v>934</v>
      </c>
      <c r="BB1008" s="235">
        <v>82</v>
      </c>
      <c r="BC1008" s="247" t="s">
        <v>1988</v>
      </c>
      <c r="BD1008" s="247">
        <v>0.4</v>
      </c>
      <c r="BE1008" s="247">
        <v>0.6</v>
      </c>
      <c r="BF1008" s="247">
        <v>1.3</v>
      </c>
      <c r="BG1008" s="247">
        <v>2.5</v>
      </c>
      <c r="BH1008" s="247">
        <v>4.8</v>
      </c>
      <c r="BI1008" s="247">
        <v>9.1</v>
      </c>
      <c r="BJ1008" s="247">
        <v>12.4</v>
      </c>
      <c r="BK1008" s="247">
        <v>10.8</v>
      </c>
      <c r="BL1008" s="247">
        <v>6.6</v>
      </c>
      <c r="BM1008" s="247">
        <v>3.3</v>
      </c>
      <c r="BN1008" s="247">
        <v>1.1000000000000001</v>
      </c>
      <c r="BO1008" s="247">
        <v>0.5</v>
      </c>
      <c r="BP1008" s="248">
        <v>4.4000000000000004</v>
      </c>
    </row>
    <row r="1009" spans="1:68" ht="14.25" customHeight="1">
      <c r="A1009" s="233">
        <v>352</v>
      </c>
      <c r="B1009" s="234">
        <v>108</v>
      </c>
      <c r="C1009" s="244" t="s">
        <v>928</v>
      </c>
      <c r="D1009" s="244" t="s">
        <v>1991</v>
      </c>
      <c r="E1009" s="244" t="s">
        <v>1992</v>
      </c>
      <c r="F1009" s="245">
        <v>-4</v>
      </c>
      <c r="G1009" s="245">
        <v>-2.8</v>
      </c>
      <c r="H1009" s="245">
        <v>1.8</v>
      </c>
      <c r="I1009" s="245">
        <v>9.5</v>
      </c>
      <c r="J1009" s="245">
        <v>15.4</v>
      </c>
      <c r="K1009" s="245">
        <v>19.100000000000001</v>
      </c>
      <c r="L1009" s="245">
        <v>21.6</v>
      </c>
      <c r="M1009" s="245">
        <v>21</v>
      </c>
      <c r="N1009" s="245">
        <v>16</v>
      </c>
      <c r="O1009" s="245">
        <v>9.4</v>
      </c>
      <c r="P1009" s="245">
        <v>3.8</v>
      </c>
      <c r="Q1009" s="245">
        <v>-1.3</v>
      </c>
      <c r="R1009" s="246">
        <v>9.1</v>
      </c>
      <c r="S1009" s="233">
        <v>108</v>
      </c>
      <c r="T1009" s="247" t="s">
        <v>1993</v>
      </c>
      <c r="U1009" s="245">
        <v>-24</v>
      </c>
      <c r="V1009" s="245">
        <v>-21</v>
      </c>
      <c r="W1009" s="245">
        <v>-20</v>
      </c>
      <c r="X1009" s="245">
        <v>-18</v>
      </c>
      <c r="Y1009" s="245">
        <v>-9</v>
      </c>
      <c r="Z1009" s="245">
        <v>-31</v>
      </c>
      <c r="AA1009" s="245">
        <v>7</v>
      </c>
      <c r="AB1009" s="245">
        <v>86</v>
      </c>
      <c r="AC1009" s="245">
        <v>-2.5</v>
      </c>
      <c r="AD1009" s="245">
        <v>168</v>
      </c>
      <c r="AE1009" s="245">
        <v>0.6</v>
      </c>
      <c r="AF1009" s="245">
        <v>187</v>
      </c>
      <c r="AG1009" s="245">
        <v>1.4</v>
      </c>
      <c r="AH1009" s="245">
        <v>86</v>
      </c>
      <c r="AI1009" s="245">
        <v>81</v>
      </c>
      <c r="AJ1009" s="245">
        <v>136</v>
      </c>
      <c r="AK1009" s="245" t="s">
        <v>971</v>
      </c>
      <c r="AL1009" s="245">
        <v>2.5</v>
      </c>
      <c r="AM1009" s="246">
        <v>1.8</v>
      </c>
      <c r="AN1009" s="235">
        <v>108</v>
      </c>
      <c r="AO1009" s="247" t="s">
        <v>1994</v>
      </c>
      <c r="AP1009" s="247">
        <v>970</v>
      </c>
      <c r="AQ1009" s="247">
        <v>24.6</v>
      </c>
      <c r="AR1009" s="247">
        <v>28.6</v>
      </c>
      <c r="AS1009" s="247">
        <v>27</v>
      </c>
      <c r="AT1009" s="247">
        <v>39</v>
      </c>
      <c r="AU1009" s="247">
        <v>10.4</v>
      </c>
      <c r="AV1009" s="247">
        <v>68</v>
      </c>
      <c r="AW1009" s="247">
        <v>54</v>
      </c>
      <c r="AX1009" s="247">
        <v>505</v>
      </c>
      <c r="AY1009" s="247" t="s">
        <v>965</v>
      </c>
      <c r="AZ1009" s="247" t="s">
        <v>978</v>
      </c>
      <c r="BA1009" s="248">
        <v>0</v>
      </c>
      <c r="BB1009" s="235">
        <v>92</v>
      </c>
      <c r="BC1009" s="247" t="s">
        <v>1992</v>
      </c>
      <c r="BD1009" s="247">
        <v>4.0999999999999996</v>
      </c>
      <c r="BE1009" s="247">
        <v>4.4000000000000004</v>
      </c>
      <c r="BF1009" s="247">
        <v>5.7</v>
      </c>
      <c r="BG1009" s="247">
        <v>8.5</v>
      </c>
      <c r="BH1009" s="247">
        <v>12.4</v>
      </c>
      <c r="BI1009" s="247">
        <v>15.2</v>
      </c>
      <c r="BJ1009" s="247">
        <v>17.3</v>
      </c>
      <c r="BK1009" s="247">
        <v>16.899999999999999</v>
      </c>
      <c r="BL1009" s="247">
        <v>13.6</v>
      </c>
      <c r="BM1009" s="247">
        <v>9.5</v>
      </c>
      <c r="BN1009" s="247">
        <v>6.9</v>
      </c>
      <c r="BO1009" s="247">
        <v>5</v>
      </c>
      <c r="BP1009" s="248">
        <v>10</v>
      </c>
    </row>
    <row r="1010" spans="1:68" ht="14.25" customHeight="1">
      <c r="A1010" s="233">
        <v>353</v>
      </c>
      <c r="B1010" s="234">
        <v>595</v>
      </c>
      <c r="C1010" s="244" t="s">
        <v>1015</v>
      </c>
      <c r="D1010" s="244" t="s">
        <v>1657</v>
      </c>
      <c r="E1010" s="244" t="s">
        <v>1995</v>
      </c>
      <c r="F1010" s="245">
        <v>-2</v>
      </c>
      <c r="G1010" s="245">
        <v>1.1000000000000001</v>
      </c>
      <c r="H1010" s="245">
        <v>8.5</v>
      </c>
      <c r="I1010" s="245">
        <v>16.2</v>
      </c>
      <c r="J1010" s="245">
        <v>21.5</v>
      </c>
      <c r="K1010" s="245">
        <v>25.7</v>
      </c>
      <c r="L1010" s="245">
        <v>27.2</v>
      </c>
      <c r="M1010" s="245">
        <v>25.2</v>
      </c>
      <c r="N1010" s="245">
        <v>20.2</v>
      </c>
      <c r="O1010" s="245">
        <v>13.5</v>
      </c>
      <c r="P1010" s="245">
        <v>5.9</v>
      </c>
      <c r="Q1010" s="245">
        <v>0.2</v>
      </c>
      <c r="R1010" s="246">
        <v>13.7</v>
      </c>
      <c r="S1010" s="233">
        <v>584</v>
      </c>
      <c r="T1010" s="247" t="s">
        <v>1995</v>
      </c>
      <c r="U1010" s="245">
        <v>-20</v>
      </c>
      <c r="V1010" s="245">
        <v>-17</v>
      </c>
      <c r="W1010" s="245">
        <v>-17</v>
      </c>
      <c r="X1010" s="245" t="s">
        <v>965</v>
      </c>
      <c r="Y1010" s="245">
        <v>-6</v>
      </c>
      <c r="Z1010" s="245">
        <v>-26</v>
      </c>
      <c r="AA1010" s="245">
        <v>8.6999999999999993</v>
      </c>
      <c r="AB1010" s="245">
        <v>52</v>
      </c>
      <c r="AC1010" s="245" t="s">
        <v>958</v>
      </c>
      <c r="AD1010" s="245">
        <v>128</v>
      </c>
      <c r="AE1010" s="245">
        <v>1.5</v>
      </c>
      <c r="AF1010" s="245" t="s">
        <v>933</v>
      </c>
      <c r="AG1010" s="245" t="s">
        <v>931</v>
      </c>
      <c r="AH1010" s="245" t="s">
        <v>956</v>
      </c>
      <c r="AI1010" s="245" t="s">
        <v>956</v>
      </c>
      <c r="AJ1010" s="245" t="s">
        <v>1018</v>
      </c>
      <c r="AK1010" s="245" t="s">
        <v>931</v>
      </c>
      <c r="AL1010" s="245">
        <v>2</v>
      </c>
      <c r="AM1010" s="246" t="s">
        <v>931</v>
      </c>
      <c r="AN1010" s="235">
        <v>585</v>
      </c>
      <c r="AO1010" s="247" t="s">
        <v>1996</v>
      </c>
      <c r="AP1010" s="247">
        <v>970</v>
      </c>
      <c r="AQ1010" s="247">
        <v>32.1</v>
      </c>
      <c r="AR1010" s="247">
        <v>35.700000000000003</v>
      </c>
      <c r="AS1010" s="247">
        <v>34.9</v>
      </c>
      <c r="AT1010" s="247">
        <v>42</v>
      </c>
      <c r="AU1010" s="247">
        <v>14.6</v>
      </c>
      <c r="AV1010" s="247" t="s">
        <v>958</v>
      </c>
      <c r="AW1010" s="247" t="s">
        <v>931</v>
      </c>
      <c r="AX1010" s="247" t="s">
        <v>931</v>
      </c>
      <c r="AY1010" s="247" t="s">
        <v>965</v>
      </c>
      <c r="AZ1010" s="247" t="s">
        <v>933</v>
      </c>
      <c r="BA1010" s="248">
        <v>0</v>
      </c>
      <c r="BB1010" s="235"/>
      <c r="BC1010" s="247" t="s">
        <v>1995</v>
      </c>
      <c r="BD1010" s="247"/>
      <c r="BE1010" s="247"/>
      <c r="BF1010" s="247"/>
      <c r="BG1010" s="247"/>
      <c r="BH1010" s="247"/>
      <c r="BI1010" s="247"/>
      <c r="BJ1010" s="247"/>
      <c r="BK1010" s="247"/>
      <c r="BL1010" s="247"/>
      <c r="BM1010" s="247"/>
      <c r="BN1010" s="247"/>
      <c r="BO1010" s="247"/>
      <c r="BP1010" s="248"/>
    </row>
    <row r="1011" spans="1:68" ht="14.25" customHeight="1">
      <c r="A1011" s="233">
        <v>354</v>
      </c>
      <c r="B1011" s="234">
        <v>542</v>
      </c>
      <c r="C1011" s="244" t="s">
        <v>1180</v>
      </c>
      <c r="D1011" s="244" t="s">
        <v>1785</v>
      </c>
      <c r="E1011" s="244" t="s">
        <v>1997</v>
      </c>
      <c r="F1011" s="245">
        <v>-17.3</v>
      </c>
      <c r="G1011" s="245">
        <v>-14.4</v>
      </c>
      <c r="H1011" s="245">
        <v>-4.5</v>
      </c>
      <c r="I1011" s="245">
        <v>6.3</v>
      </c>
      <c r="J1011" s="245">
        <v>11.4</v>
      </c>
      <c r="K1011" s="245">
        <v>14.4</v>
      </c>
      <c r="L1011" s="245">
        <v>17</v>
      </c>
      <c r="M1011" s="245">
        <v>16.8</v>
      </c>
      <c r="N1011" s="245">
        <v>12.4</v>
      </c>
      <c r="O1011" s="245">
        <v>5.3</v>
      </c>
      <c r="P1011" s="245">
        <v>-4.5</v>
      </c>
      <c r="Q1011" s="245">
        <v>-13.4</v>
      </c>
      <c r="R1011" s="246">
        <v>2.5</v>
      </c>
      <c r="S1011" s="233">
        <v>542</v>
      </c>
      <c r="T1011" s="247" t="s">
        <v>1997</v>
      </c>
      <c r="U1011" s="245">
        <v>-33</v>
      </c>
      <c r="V1011" s="245">
        <v>-31</v>
      </c>
      <c r="W1011" s="245">
        <v>-32</v>
      </c>
      <c r="X1011" s="245">
        <v>-29</v>
      </c>
      <c r="Y1011" s="245" t="s">
        <v>956</v>
      </c>
      <c r="Z1011" s="245">
        <v>-38</v>
      </c>
      <c r="AA1011" s="245">
        <v>10.7</v>
      </c>
      <c r="AB1011" s="245" t="s">
        <v>1018</v>
      </c>
      <c r="AC1011" s="245" t="s">
        <v>958</v>
      </c>
      <c r="AD1011" s="245" t="s">
        <v>1018</v>
      </c>
      <c r="AE1011" s="245" t="s">
        <v>931</v>
      </c>
      <c r="AF1011" s="245" t="s">
        <v>933</v>
      </c>
      <c r="AG1011" s="245" t="s">
        <v>931</v>
      </c>
      <c r="AH1011" s="245">
        <v>80</v>
      </c>
      <c r="AI1011" s="245">
        <v>69</v>
      </c>
      <c r="AJ1011" s="245" t="s">
        <v>1018</v>
      </c>
      <c r="AK1011" s="245" t="s">
        <v>950</v>
      </c>
      <c r="AL1011" s="245">
        <v>2.1</v>
      </c>
      <c r="AM1011" s="246" t="s">
        <v>931</v>
      </c>
      <c r="AN1011" s="235">
        <v>542</v>
      </c>
      <c r="AO1011" s="247" t="s">
        <v>1998</v>
      </c>
      <c r="AP1011" s="247" t="s">
        <v>965</v>
      </c>
      <c r="AQ1011" s="247" t="s">
        <v>958</v>
      </c>
      <c r="AR1011" s="247" t="s">
        <v>931</v>
      </c>
      <c r="AS1011" s="247" t="s">
        <v>958</v>
      </c>
      <c r="AT1011" s="247">
        <v>35</v>
      </c>
      <c r="AU1011" s="247">
        <v>14.7</v>
      </c>
      <c r="AV1011" s="247">
        <v>50</v>
      </c>
      <c r="AW1011" s="247">
        <v>34</v>
      </c>
      <c r="AX1011" s="247">
        <v>254</v>
      </c>
      <c r="AY1011" s="247">
        <v>42</v>
      </c>
      <c r="AZ1011" s="247" t="s">
        <v>973</v>
      </c>
      <c r="BA1011" s="248">
        <v>1.6</v>
      </c>
      <c r="BB1011" s="235"/>
      <c r="BC1011" s="247" t="s">
        <v>1997</v>
      </c>
      <c r="BD1011" s="247"/>
      <c r="BE1011" s="247"/>
      <c r="BF1011" s="247"/>
      <c r="BG1011" s="247"/>
      <c r="BH1011" s="247"/>
      <c r="BI1011" s="247"/>
      <c r="BJ1011" s="247"/>
      <c r="BK1011" s="247"/>
      <c r="BL1011" s="247"/>
      <c r="BM1011" s="247"/>
      <c r="BN1011" s="247"/>
      <c r="BO1011" s="247"/>
      <c r="BP1011" s="248"/>
    </row>
    <row r="1012" spans="1:68" ht="14.25" customHeight="1">
      <c r="A1012" s="233">
        <v>355</v>
      </c>
      <c r="B1012" s="234">
        <v>454</v>
      </c>
      <c r="C1012" s="244" t="s">
        <v>928</v>
      </c>
      <c r="D1012" s="244" t="s">
        <v>1257</v>
      </c>
      <c r="E1012" s="244" t="s">
        <v>1999</v>
      </c>
      <c r="F1012" s="245">
        <v>-16.899999999999999</v>
      </c>
      <c r="G1012" s="245">
        <v>-17.3</v>
      </c>
      <c r="H1012" s="245">
        <v>-14.3</v>
      </c>
      <c r="I1012" s="245">
        <v>-6.7</v>
      </c>
      <c r="J1012" s="245">
        <v>-0.3</v>
      </c>
      <c r="K1012" s="245">
        <v>7.4</v>
      </c>
      <c r="L1012" s="245">
        <v>12.7</v>
      </c>
      <c r="M1012" s="245">
        <v>11</v>
      </c>
      <c r="N1012" s="245">
        <v>5.6</v>
      </c>
      <c r="O1012" s="245">
        <v>-1.6</v>
      </c>
      <c r="P1012" s="245">
        <v>-8.4</v>
      </c>
      <c r="Q1012" s="245">
        <v>-13.7</v>
      </c>
      <c r="R1012" s="246">
        <v>-3.5</v>
      </c>
      <c r="S1012" s="233">
        <v>454</v>
      </c>
      <c r="T1012" s="247" t="s">
        <v>1999</v>
      </c>
      <c r="U1012" s="245">
        <v>-44</v>
      </c>
      <c r="V1012" s="245">
        <v>-42</v>
      </c>
      <c r="W1012" s="245">
        <v>-40</v>
      </c>
      <c r="X1012" s="245">
        <v>-37</v>
      </c>
      <c r="Y1012" s="245">
        <v>-22</v>
      </c>
      <c r="Z1012" s="245">
        <v>-48</v>
      </c>
      <c r="AA1012" s="245">
        <v>8.6</v>
      </c>
      <c r="AB1012" s="245">
        <v>220</v>
      </c>
      <c r="AC1012" s="245">
        <v>-10.7</v>
      </c>
      <c r="AD1012" s="245">
        <v>290</v>
      </c>
      <c r="AE1012" s="245">
        <v>-7.2</v>
      </c>
      <c r="AF1012" s="245">
        <v>313</v>
      </c>
      <c r="AG1012" s="245">
        <v>-6</v>
      </c>
      <c r="AH1012" s="245">
        <v>83</v>
      </c>
      <c r="AI1012" s="245">
        <v>80</v>
      </c>
      <c r="AJ1012" s="245">
        <v>123</v>
      </c>
      <c r="AK1012" s="245" t="s">
        <v>963</v>
      </c>
      <c r="AL1012" s="245">
        <v>6.3</v>
      </c>
      <c r="AM1012" s="246">
        <v>5</v>
      </c>
      <c r="AN1012" s="235">
        <v>454</v>
      </c>
      <c r="AO1012" s="247" t="s">
        <v>2000</v>
      </c>
      <c r="AP1012" s="247">
        <v>1010</v>
      </c>
      <c r="AQ1012" s="247">
        <v>15.2</v>
      </c>
      <c r="AR1012" s="247">
        <v>19.7</v>
      </c>
      <c r="AS1012" s="247">
        <v>17.600000000000001</v>
      </c>
      <c r="AT1012" s="247">
        <v>33</v>
      </c>
      <c r="AU1012" s="247">
        <v>9.1999999999999993</v>
      </c>
      <c r="AV1012" s="247">
        <v>75</v>
      </c>
      <c r="AW1012" s="247">
        <v>61</v>
      </c>
      <c r="AX1012" s="247">
        <v>307</v>
      </c>
      <c r="AY1012" s="247">
        <v>54</v>
      </c>
      <c r="AZ1012" s="247" t="s">
        <v>1005</v>
      </c>
      <c r="BA1012" s="248">
        <v>5.2</v>
      </c>
      <c r="BB1012" s="235">
        <v>416</v>
      </c>
      <c r="BC1012" s="247" t="s">
        <v>1999</v>
      </c>
      <c r="BD1012" s="247">
        <v>1.8</v>
      </c>
      <c r="BE1012" s="247">
        <v>1.7</v>
      </c>
      <c r="BF1012" s="247">
        <v>2.2000000000000002</v>
      </c>
      <c r="BG1012" s="247">
        <v>3.5</v>
      </c>
      <c r="BH1012" s="247">
        <v>4.9000000000000004</v>
      </c>
      <c r="BI1012" s="247">
        <v>7.7</v>
      </c>
      <c r="BJ1012" s="247">
        <v>11.1</v>
      </c>
      <c r="BK1012" s="247">
        <v>10.7</v>
      </c>
      <c r="BL1012" s="247">
        <v>8.1</v>
      </c>
      <c r="BM1012" s="247">
        <v>5.0999999999999996</v>
      </c>
      <c r="BN1012" s="247">
        <v>3.3</v>
      </c>
      <c r="BO1012" s="247">
        <v>2.4</v>
      </c>
      <c r="BP1012" s="248">
        <v>5.2</v>
      </c>
    </row>
    <row r="1013" spans="1:68" ht="14.25" customHeight="1">
      <c r="A1013" s="233">
        <v>356</v>
      </c>
      <c r="B1013" s="234">
        <v>119</v>
      </c>
      <c r="C1013" s="244" t="s">
        <v>928</v>
      </c>
      <c r="D1013" s="244" t="s">
        <v>1023</v>
      </c>
      <c r="E1013" s="244" t="s">
        <v>2001</v>
      </c>
      <c r="F1013" s="245">
        <v>-18.3</v>
      </c>
      <c r="G1013" s="245">
        <v>-16.5</v>
      </c>
      <c r="H1013" s="245">
        <v>-11.8</v>
      </c>
      <c r="I1013" s="245">
        <v>-4.4000000000000004</v>
      </c>
      <c r="J1013" s="245">
        <v>1.9</v>
      </c>
      <c r="K1013" s="245">
        <v>7.7</v>
      </c>
      <c r="L1013" s="245">
        <v>12</v>
      </c>
      <c r="M1013" s="245">
        <v>11.8</v>
      </c>
      <c r="N1013" s="245">
        <v>7.3</v>
      </c>
      <c r="O1013" s="245">
        <v>0.5</v>
      </c>
      <c r="P1013" s="245">
        <v>-9.4</v>
      </c>
      <c r="Q1013" s="245">
        <v>-16.399999999999999</v>
      </c>
      <c r="R1013" s="246">
        <v>-3</v>
      </c>
      <c r="S1013" s="233">
        <v>119</v>
      </c>
      <c r="T1013" s="247" t="s">
        <v>2002</v>
      </c>
      <c r="U1013" s="245">
        <v>-40</v>
      </c>
      <c r="V1013" s="245">
        <v>-39</v>
      </c>
      <c r="W1013" s="245">
        <v>-37</v>
      </c>
      <c r="X1013" s="245">
        <v>-36</v>
      </c>
      <c r="Y1013" s="245">
        <v>-23</v>
      </c>
      <c r="Z1013" s="245">
        <v>-51</v>
      </c>
      <c r="AA1013" s="245">
        <v>14.8</v>
      </c>
      <c r="AB1013" s="245">
        <v>201</v>
      </c>
      <c r="AC1013" s="245">
        <v>-11.4</v>
      </c>
      <c r="AD1013" s="245">
        <v>280</v>
      </c>
      <c r="AE1013" s="245">
        <v>-7</v>
      </c>
      <c r="AF1013" s="245">
        <v>308</v>
      </c>
      <c r="AG1013" s="245">
        <v>-5.6</v>
      </c>
      <c r="AH1013" s="245">
        <v>80</v>
      </c>
      <c r="AI1013" s="245">
        <v>77</v>
      </c>
      <c r="AJ1013" s="245">
        <v>508</v>
      </c>
      <c r="AK1013" s="245" t="s">
        <v>944</v>
      </c>
      <c r="AL1013" s="245">
        <v>5.4</v>
      </c>
      <c r="AM1013" s="246">
        <v>2.6</v>
      </c>
      <c r="AN1013" s="235">
        <v>119</v>
      </c>
      <c r="AO1013" s="247" t="s">
        <v>2003</v>
      </c>
      <c r="AP1013" s="247">
        <v>980</v>
      </c>
      <c r="AQ1013" s="247">
        <v>15.6</v>
      </c>
      <c r="AR1013" s="247">
        <v>20.100000000000001</v>
      </c>
      <c r="AS1013" s="247">
        <v>18</v>
      </c>
      <c r="AT1013" s="247">
        <v>30</v>
      </c>
      <c r="AU1013" s="247">
        <v>11</v>
      </c>
      <c r="AV1013" s="247">
        <v>82</v>
      </c>
      <c r="AW1013" s="247">
        <v>66</v>
      </c>
      <c r="AX1013" s="247">
        <v>554</v>
      </c>
      <c r="AY1013" s="247">
        <v>105</v>
      </c>
      <c r="AZ1013" s="247" t="s">
        <v>978</v>
      </c>
      <c r="BA1013" s="248">
        <v>0</v>
      </c>
      <c r="BB1013" s="235">
        <v>103</v>
      </c>
      <c r="BC1013" s="247" t="s">
        <v>2001</v>
      </c>
      <c r="BD1013" s="247">
        <v>1.6</v>
      </c>
      <c r="BE1013" s="247">
        <v>1.6</v>
      </c>
      <c r="BF1013" s="247">
        <v>2.1</v>
      </c>
      <c r="BG1013" s="247">
        <v>3.4</v>
      </c>
      <c r="BH1013" s="247">
        <v>5.2</v>
      </c>
      <c r="BI1013" s="247">
        <v>7.8</v>
      </c>
      <c r="BJ1013" s="247">
        <v>11.4</v>
      </c>
      <c r="BK1013" s="247">
        <v>11.7</v>
      </c>
      <c r="BL1013" s="247">
        <v>8.4</v>
      </c>
      <c r="BM1013" s="247">
        <v>5.2</v>
      </c>
      <c r="BN1013" s="247">
        <v>2.8</v>
      </c>
      <c r="BO1013" s="247">
        <v>1.9</v>
      </c>
      <c r="BP1013" s="248">
        <v>5.3</v>
      </c>
    </row>
    <row r="1014" spans="1:68" ht="14.25" customHeight="1">
      <c r="A1014" s="233">
        <v>357</v>
      </c>
      <c r="B1014" s="234">
        <v>558</v>
      </c>
      <c r="C1014" s="249" t="s">
        <v>1074</v>
      </c>
      <c r="D1014" s="249" t="s">
        <v>1357</v>
      </c>
      <c r="E1014" s="244" t="s">
        <v>2004</v>
      </c>
      <c r="F1014" s="245"/>
      <c r="G1014" s="245"/>
      <c r="H1014" s="245"/>
      <c r="I1014" s="245"/>
      <c r="J1014" s="245"/>
      <c r="K1014" s="245"/>
      <c r="L1014" s="245"/>
      <c r="M1014" s="245"/>
      <c r="N1014" s="245"/>
      <c r="O1014" s="245"/>
      <c r="P1014" s="245"/>
      <c r="Q1014" s="245"/>
      <c r="R1014" s="246"/>
      <c r="S1014" s="250">
        <v>558</v>
      </c>
      <c r="T1014" s="247" t="s">
        <v>2004</v>
      </c>
      <c r="U1014" s="245">
        <v>-19</v>
      </c>
      <c r="V1014" s="245">
        <v>-16</v>
      </c>
      <c r="W1014" s="245">
        <v>-15</v>
      </c>
      <c r="X1014" s="245">
        <v>-11</v>
      </c>
      <c r="Y1014" s="245">
        <v>-2</v>
      </c>
      <c r="Z1014" s="245">
        <v>-24</v>
      </c>
      <c r="AA1014" s="245">
        <v>8.3000000000000007</v>
      </c>
      <c r="AB1014" s="245">
        <v>0</v>
      </c>
      <c r="AC1014" s="245" t="s">
        <v>830</v>
      </c>
      <c r="AD1014" s="245">
        <v>99</v>
      </c>
      <c r="AE1014" s="245">
        <v>4.7</v>
      </c>
      <c r="AF1014" s="245">
        <v>114</v>
      </c>
      <c r="AG1014" s="245">
        <v>5.3</v>
      </c>
      <c r="AH1014" s="245" t="s">
        <v>956</v>
      </c>
      <c r="AI1014" s="245">
        <v>57</v>
      </c>
      <c r="AJ1014" s="245">
        <v>81</v>
      </c>
      <c r="AK1014" s="245" t="s">
        <v>982</v>
      </c>
      <c r="AL1014" s="245">
        <v>7.6</v>
      </c>
      <c r="AM1014" s="246" t="s">
        <v>931</v>
      </c>
      <c r="AN1014" s="235">
        <v>559</v>
      </c>
      <c r="AO1014" s="247" t="s">
        <v>2005</v>
      </c>
      <c r="AP1014" s="247">
        <v>1015</v>
      </c>
      <c r="AQ1014" s="247">
        <v>41</v>
      </c>
      <c r="AR1014" s="247">
        <v>35</v>
      </c>
      <c r="AS1014" s="247">
        <v>38.5</v>
      </c>
      <c r="AT1014" s="247">
        <v>48</v>
      </c>
      <c r="AU1014" s="247">
        <v>12.4</v>
      </c>
      <c r="AV1014" s="247">
        <v>36</v>
      </c>
      <c r="AW1014" s="247">
        <v>22</v>
      </c>
      <c r="AX1014" s="247">
        <v>70</v>
      </c>
      <c r="AY1014" s="247">
        <v>55</v>
      </c>
      <c r="AZ1014" s="247" t="s">
        <v>1038</v>
      </c>
      <c r="BA1014" s="248">
        <v>3.2</v>
      </c>
      <c r="BB1014" s="235"/>
      <c r="BC1014" s="247" t="s">
        <v>2004</v>
      </c>
      <c r="BD1014" s="247"/>
      <c r="BE1014" s="247"/>
      <c r="BF1014" s="247"/>
      <c r="BG1014" s="247"/>
      <c r="BH1014" s="247"/>
      <c r="BI1014" s="247"/>
      <c r="BJ1014" s="247"/>
      <c r="BK1014" s="247"/>
      <c r="BL1014" s="247"/>
      <c r="BM1014" s="247"/>
      <c r="BN1014" s="247"/>
      <c r="BO1014" s="247"/>
      <c r="BP1014" s="248"/>
    </row>
    <row r="1015" spans="1:68" ht="14.25" customHeight="1">
      <c r="A1015" s="233">
        <v>358</v>
      </c>
      <c r="B1015" s="234">
        <v>293</v>
      </c>
      <c r="C1015" s="244" t="s">
        <v>928</v>
      </c>
      <c r="D1015" s="244" t="s">
        <v>992</v>
      </c>
      <c r="E1015" s="244" t="s">
        <v>2006</v>
      </c>
      <c r="F1015" s="245">
        <v>-8.6</v>
      </c>
      <c r="G1015" s="245">
        <v>-8</v>
      </c>
      <c r="H1015" s="245">
        <v>-3.7</v>
      </c>
      <c r="I1015" s="245">
        <v>2.4</v>
      </c>
      <c r="J1015" s="245">
        <v>7</v>
      </c>
      <c r="K1015" s="245">
        <v>11.2</v>
      </c>
      <c r="L1015" s="245">
        <v>15.7</v>
      </c>
      <c r="M1015" s="245">
        <v>17.7</v>
      </c>
      <c r="N1015" s="245">
        <v>14.5</v>
      </c>
      <c r="O1015" s="245">
        <v>8.1999999999999993</v>
      </c>
      <c r="P1015" s="245">
        <v>0.6</v>
      </c>
      <c r="Q1015" s="245">
        <v>-5.2</v>
      </c>
      <c r="R1015" s="246">
        <v>4.3</v>
      </c>
      <c r="S1015" s="233">
        <v>293</v>
      </c>
      <c r="T1015" s="247" t="s">
        <v>2007</v>
      </c>
      <c r="U1015" s="245">
        <v>-20</v>
      </c>
      <c r="V1015" s="245">
        <v>-19</v>
      </c>
      <c r="W1015" s="245">
        <v>-18</v>
      </c>
      <c r="X1015" s="245">
        <v>-16</v>
      </c>
      <c r="Y1015" s="245">
        <v>-14</v>
      </c>
      <c r="Z1015" s="245">
        <v>-25</v>
      </c>
      <c r="AA1015" s="245">
        <v>5.4</v>
      </c>
      <c r="AB1015" s="245">
        <v>136</v>
      </c>
      <c r="AC1015" s="245">
        <v>-5.4</v>
      </c>
      <c r="AD1015" s="245">
        <v>218</v>
      </c>
      <c r="AE1015" s="245">
        <v>-1.8</v>
      </c>
      <c r="AF1015" s="245">
        <v>242</v>
      </c>
      <c r="AG1015" s="245">
        <v>-0.7</v>
      </c>
      <c r="AH1015" s="245">
        <v>72</v>
      </c>
      <c r="AI1015" s="245">
        <v>66</v>
      </c>
      <c r="AJ1015" s="245">
        <v>332</v>
      </c>
      <c r="AK1015" s="245" t="s">
        <v>996</v>
      </c>
      <c r="AL1015" s="245">
        <v>7</v>
      </c>
      <c r="AM1015" s="246">
        <v>7</v>
      </c>
      <c r="AN1015" s="235">
        <v>287</v>
      </c>
      <c r="AO1015" s="247" t="s">
        <v>2008</v>
      </c>
      <c r="AP1015" s="247">
        <v>995</v>
      </c>
      <c r="AQ1015" s="247">
        <v>18.5</v>
      </c>
      <c r="AR1015" s="247">
        <v>22.8</v>
      </c>
      <c r="AS1015" s="247">
        <v>20.9</v>
      </c>
      <c r="AT1015" s="247">
        <v>30</v>
      </c>
      <c r="AU1015" s="247">
        <v>6.2</v>
      </c>
      <c r="AV1015" s="247">
        <v>85</v>
      </c>
      <c r="AW1015" s="247">
        <v>81</v>
      </c>
      <c r="AX1015" s="247">
        <v>579</v>
      </c>
      <c r="AY1015" s="247">
        <v>135</v>
      </c>
      <c r="AZ1015" s="247" t="s">
        <v>1038</v>
      </c>
      <c r="BA1015" s="248">
        <v>3.1</v>
      </c>
      <c r="BB1015" s="235">
        <v>258</v>
      </c>
      <c r="BC1015" s="247" t="s">
        <v>2006</v>
      </c>
      <c r="BD1015" s="247">
        <v>2.4</v>
      </c>
      <c r="BE1015" s="247">
        <v>2.5</v>
      </c>
      <c r="BF1015" s="247">
        <v>3.4</v>
      </c>
      <c r="BG1015" s="247">
        <v>5.6</v>
      </c>
      <c r="BH1015" s="247">
        <v>7.8</v>
      </c>
      <c r="BI1015" s="247">
        <v>11.2</v>
      </c>
      <c r="BJ1015" s="247">
        <v>15.7</v>
      </c>
      <c r="BK1015" s="247">
        <v>17.3</v>
      </c>
      <c r="BL1015" s="247">
        <v>13.1</v>
      </c>
      <c r="BM1015" s="247">
        <v>8.1</v>
      </c>
      <c r="BN1015" s="247">
        <v>4.7</v>
      </c>
      <c r="BO1015" s="247">
        <v>3.1</v>
      </c>
      <c r="BP1015" s="248">
        <v>7.9</v>
      </c>
    </row>
    <row r="1016" spans="1:68" ht="14.25" customHeight="1">
      <c r="A1016" s="233">
        <v>359</v>
      </c>
      <c r="B1016" s="234">
        <v>307</v>
      </c>
      <c r="C1016" s="244" t="s">
        <v>928</v>
      </c>
      <c r="D1016" s="244" t="s">
        <v>1034</v>
      </c>
      <c r="E1016" s="244" t="s">
        <v>2009</v>
      </c>
      <c r="F1016" s="245">
        <v>-4.5</v>
      </c>
      <c r="G1016" s="245">
        <v>-3.3</v>
      </c>
      <c r="H1016" s="245">
        <v>1.8</v>
      </c>
      <c r="I1016" s="245">
        <v>9.6999999999999993</v>
      </c>
      <c r="J1016" s="245">
        <v>15.6</v>
      </c>
      <c r="K1016" s="245">
        <v>19.399999999999999</v>
      </c>
      <c r="L1016" s="245">
        <v>22.1</v>
      </c>
      <c r="M1016" s="245">
        <v>21.5</v>
      </c>
      <c r="N1016" s="245">
        <v>16.399999999999999</v>
      </c>
      <c r="O1016" s="245">
        <v>9.8000000000000007</v>
      </c>
      <c r="P1016" s="245">
        <v>3.9</v>
      </c>
      <c r="Q1016" s="245">
        <v>-1.5</v>
      </c>
      <c r="R1016" s="246">
        <v>9.1999999999999993</v>
      </c>
      <c r="S1016" s="233">
        <v>307</v>
      </c>
      <c r="T1016" s="247" t="s">
        <v>2010</v>
      </c>
      <c r="U1016" s="245">
        <v>-23</v>
      </c>
      <c r="V1016" s="245">
        <v>-21</v>
      </c>
      <c r="W1016" s="245">
        <v>-20</v>
      </c>
      <c r="X1016" s="245">
        <v>-18</v>
      </c>
      <c r="Y1016" s="245">
        <v>-6</v>
      </c>
      <c r="Z1016" s="245">
        <v>-36</v>
      </c>
      <c r="AA1016" s="245">
        <v>8</v>
      </c>
      <c r="AB1016" s="245">
        <v>92</v>
      </c>
      <c r="AC1016" s="245">
        <v>-3.2</v>
      </c>
      <c r="AD1016" s="245">
        <v>168</v>
      </c>
      <c r="AE1016" s="245">
        <v>0.1</v>
      </c>
      <c r="AF1016" s="245">
        <v>186</v>
      </c>
      <c r="AG1016" s="245">
        <v>1</v>
      </c>
      <c r="AH1016" s="245">
        <v>84</v>
      </c>
      <c r="AI1016" s="245">
        <v>81</v>
      </c>
      <c r="AJ1016" s="245">
        <v>152</v>
      </c>
      <c r="AK1016" s="245" t="s">
        <v>982</v>
      </c>
      <c r="AL1016" s="245" t="s">
        <v>931</v>
      </c>
      <c r="AM1016" s="246">
        <v>4.0999999999999996</v>
      </c>
      <c r="AN1016" s="235">
        <v>307</v>
      </c>
      <c r="AO1016" s="247" t="s">
        <v>2011</v>
      </c>
      <c r="AP1016" s="247">
        <v>910</v>
      </c>
      <c r="AQ1016" s="247">
        <v>26</v>
      </c>
      <c r="AR1016" s="247">
        <v>32</v>
      </c>
      <c r="AS1016" s="247">
        <v>29</v>
      </c>
      <c r="AT1016" s="247">
        <v>40</v>
      </c>
      <c r="AU1016" s="247">
        <v>13.2</v>
      </c>
      <c r="AV1016" s="247">
        <v>63</v>
      </c>
      <c r="AW1016" s="247">
        <v>43</v>
      </c>
      <c r="AX1016" s="247">
        <v>422</v>
      </c>
      <c r="AY1016" s="247">
        <v>107</v>
      </c>
      <c r="AZ1016" s="247" t="s">
        <v>1038</v>
      </c>
      <c r="BA1016" s="248" t="s">
        <v>934</v>
      </c>
      <c r="BB1016" s="235">
        <v>276</v>
      </c>
      <c r="BC1016" s="247" t="s">
        <v>2009</v>
      </c>
      <c r="BD1016" s="247">
        <v>4.0999999999999996</v>
      </c>
      <c r="BE1016" s="247">
        <v>4.5</v>
      </c>
      <c r="BF1016" s="247">
        <v>5.7</v>
      </c>
      <c r="BG1016" s="247">
        <v>8.3000000000000007</v>
      </c>
      <c r="BH1016" s="247">
        <v>11.8</v>
      </c>
      <c r="BI1016" s="247">
        <v>14.6</v>
      </c>
      <c r="BJ1016" s="247">
        <v>16.100000000000001</v>
      </c>
      <c r="BK1016" s="247">
        <v>15.6</v>
      </c>
      <c r="BL1016" s="247">
        <v>12.5</v>
      </c>
      <c r="BM1016" s="247">
        <v>9.1</v>
      </c>
      <c r="BN1016" s="247">
        <v>7</v>
      </c>
      <c r="BO1016" s="247">
        <v>5.0999999999999996</v>
      </c>
      <c r="BP1016" s="248">
        <v>9.5</v>
      </c>
    </row>
    <row r="1017" spans="1:68" ht="14.25" customHeight="1">
      <c r="A1017" s="233">
        <v>360</v>
      </c>
      <c r="B1017" s="234">
        <v>99</v>
      </c>
      <c r="C1017" s="244" t="s">
        <v>928</v>
      </c>
      <c r="D1017" s="244" t="s">
        <v>1001</v>
      </c>
      <c r="E1017" s="244" t="s">
        <v>2012</v>
      </c>
      <c r="F1017" s="245">
        <v>-24.9</v>
      </c>
      <c r="G1017" s="245">
        <v>-23.2</v>
      </c>
      <c r="H1017" s="245">
        <v>-13.3</v>
      </c>
      <c r="I1017" s="245">
        <v>-1.8</v>
      </c>
      <c r="J1017" s="245">
        <v>6.5</v>
      </c>
      <c r="K1017" s="245">
        <v>14.6</v>
      </c>
      <c r="L1017" s="245">
        <v>17.600000000000001</v>
      </c>
      <c r="M1017" s="245">
        <v>14.1</v>
      </c>
      <c r="N1017" s="245">
        <v>6.9</v>
      </c>
      <c r="O1017" s="245">
        <v>-1.4</v>
      </c>
      <c r="P1017" s="245">
        <v>-14.4</v>
      </c>
      <c r="Q1017" s="245">
        <v>-23.4</v>
      </c>
      <c r="R1017" s="246">
        <v>-3.6</v>
      </c>
      <c r="S1017" s="233">
        <v>99</v>
      </c>
      <c r="T1017" s="247" t="s">
        <v>2013</v>
      </c>
      <c r="U1017" s="245">
        <v>-52</v>
      </c>
      <c r="V1017" s="245">
        <v>-50</v>
      </c>
      <c r="W1017" s="245">
        <v>-50</v>
      </c>
      <c r="X1017" s="245">
        <v>-48</v>
      </c>
      <c r="Y1017" s="245">
        <v>-30</v>
      </c>
      <c r="Z1017" s="245">
        <v>-56</v>
      </c>
      <c r="AA1017" s="245">
        <v>11.3</v>
      </c>
      <c r="AB1017" s="245">
        <v>193</v>
      </c>
      <c r="AC1017" s="245">
        <v>-15.8</v>
      </c>
      <c r="AD1017" s="245">
        <v>253</v>
      </c>
      <c r="AE1017" s="245">
        <v>-11.1</v>
      </c>
      <c r="AF1017" s="245">
        <v>269</v>
      </c>
      <c r="AG1017" s="245">
        <v>-9.9</v>
      </c>
      <c r="AH1017" s="245">
        <v>78</v>
      </c>
      <c r="AI1017" s="245">
        <v>76</v>
      </c>
      <c r="AJ1017" s="245">
        <v>103</v>
      </c>
      <c r="AK1017" s="245" t="s">
        <v>971</v>
      </c>
      <c r="AL1017" s="245" t="s">
        <v>931</v>
      </c>
      <c r="AM1017" s="246">
        <v>2.1</v>
      </c>
      <c r="AN1017" s="235">
        <v>99</v>
      </c>
      <c r="AO1017" s="247" t="s">
        <v>2014</v>
      </c>
      <c r="AP1017" s="247">
        <v>980</v>
      </c>
      <c r="AQ1017" s="247">
        <v>22.6</v>
      </c>
      <c r="AR1017" s="247">
        <v>26.8</v>
      </c>
      <c r="AS1017" s="247">
        <v>25</v>
      </c>
      <c r="AT1017" s="247">
        <v>37</v>
      </c>
      <c r="AU1017" s="247">
        <v>14.5</v>
      </c>
      <c r="AV1017" s="247">
        <v>73</v>
      </c>
      <c r="AW1017" s="247">
        <v>51</v>
      </c>
      <c r="AX1017" s="247">
        <v>326</v>
      </c>
      <c r="AY1017" s="247">
        <v>56</v>
      </c>
      <c r="AZ1017" s="247" t="s">
        <v>978</v>
      </c>
      <c r="BA1017" s="248" t="s">
        <v>934</v>
      </c>
      <c r="BB1017" s="235">
        <v>83</v>
      </c>
      <c r="BC1017" s="247" t="s">
        <v>2012</v>
      </c>
      <c r="BD1017" s="247">
        <v>1</v>
      </c>
      <c r="BE1017" s="247">
        <v>1</v>
      </c>
      <c r="BF1017" s="247">
        <v>1.8</v>
      </c>
      <c r="BG1017" s="247">
        <v>3.4</v>
      </c>
      <c r="BH1017" s="247">
        <v>5.6</v>
      </c>
      <c r="BI1017" s="247">
        <v>10.3</v>
      </c>
      <c r="BJ1017" s="247">
        <v>14.2</v>
      </c>
      <c r="BK1017" s="247">
        <v>12.5</v>
      </c>
      <c r="BL1017" s="247">
        <v>8</v>
      </c>
      <c r="BM1017" s="247">
        <v>4.3</v>
      </c>
      <c r="BN1017" s="247">
        <v>2.1</v>
      </c>
      <c r="BO1017" s="247">
        <v>1.1000000000000001</v>
      </c>
      <c r="BP1017" s="248">
        <v>5.4</v>
      </c>
    </row>
    <row r="1018" spans="1:68" ht="14.25" customHeight="1">
      <c r="A1018" s="233">
        <v>361</v>
      </c>
      <c r="B1018" s="234">
        <v>100</v>
      </c>
      <c r="C1018" s="244" t="s">
        <v>928</v>
      </c>
      <c r="D1018" s="244" t="s">
        <v>1001</v>
      </c>
      <c r="E1018" s="244" t="s">
        <v>2015</v>
      </c>
      <c r="F1018" s="245">
        <v>-27.9</v>
      </c>
      <c r="G1018" s="245">
        <v>-25.4</v>
      </c>
      <c r="H1018" s="245">
        <v>-14.6</v>
      </c>
      <c r="I1018" s="245">
        <v>-3.5</v>
      </c>
      <c r="J1018" s="245">
        <v>5.6</v>
      </c>
      <c r="K1018" s="245">
        <v>13.9</v>
      </c>
      <c r="L1018" s="245">
        <v>16.8</v>
      </c>
      <c r="M1018" s="245">
        <v>12.9</v>
      </c>
      <c r="N1018" s="245">
        <v>5.7</v>
      </c>
      <c r="O1018" s="245">
        <v>-4</v>
      </c>
      <c r="P1018" s="245">
        <v>-18.5</v>
      </c>
      <c r="Q1018" s="245">
        <v>-27.2</v>
      </c>
      <c r="R1018" s="246">
        <v>-5.5</v>
      </c>
      <c r="S1018" s="233">
        <v>100</v>
      </c>
      <c r="T1018" s="247" t="s">
        <v>2016</v>
      </c>
      <c r="U1018" s="245">
        <v>-55</v>
      </c>
      <c r="V1018" s="245">
        <v>-52</v>
      </c>
      <c r="W1018" s="245">
        <v>-51</v>
      </c>
      <c r="X1018" s="245">
        <v>-50</v>
      </c>
      <c r="Y1018" s="245">
        <v>-33</v>
      </c>
      <c r="Z1018" s="245">
        <v>-58</v>
      </c>
      <c r="AA1018" s="245">
        <v>11.1</v>
      </c>
      <c r="AB1018" s="245">
        <v>206</v>
      </c>
      <c r="AC1018" s="245">
        <v>-17.399999999999999</v>
      </c>
      <c r="AD1018" s="245">
        <v>261</v>
      </c>
      <c r="AE1018" s="245">
        <v>-12.9</v>
      </c>
      <c r="AF1018" s="245">
        <v>277</v>
      </c>
      <c r="AG1018" s="245">
        <v>-11.6</v>
      </c>
      <c r="AH1018" s="245">
        <v>78</v>
      </c>
      <c r="AI1018" s="245">
        <v>77</v>
      </c>
      <c r="AJ1018" s="245">
        <v>100</v>
      </c>
      <c r="AK1018" s="245" t="s">
        <v>990</v>
      </c>
      <c r="AL1018" s="245" t="s">
        <v>931</v>
      </c>
      <c r="AM1018" s="246">
        <v>2</v>
      </c>
      <c r="AN1018" s="235">
        <v>100</v>
      </c>
      <c r="AO1018" s="247" t="s">
        <v>2017</v>
      </c>
      <c r="AP1018" s="247">
        <v>970</v>
      </c>
      <c r="AQ1018" s="247">
        <v>21.8</v>
      </c>
      <c r="AR1018" s="247">
        <v>26</v>
      </c>
      <c r="AS1018" s="247">
        <v>24.2</v>
      </c>
      <c r="AT1018" s="247">
        <v>39</v>
      </c>
      <c r="AU1018" s="247">
        <v>14.3</v>
      </c>
      <c r="AV1018" s="247">
        <v>76</v>
      </c>
      <c r="AW1018" s="247">
        <v>56</v>
      </c>
      <c r="AX1018" s="247">
        <v>320</v>
      </c>
      <c r="AY1018" s="247" t="s">
        <v>965</v>
      </c>
      <c r="AZ1018" s="247" t="s">
        <v>959</v>
      </c>
      <c r="BA1018" s="248" t="s">
        <v>934</v>
      </c>
      <c r="BB1018" s="235">
        <v>84</v>
      </c>
      <c r="BC1018" s="247" t="s">
        <v>2015</v>
      </c>
      <c r="BD1018" s="247">
        <v>0.8</v>
      </c>
      <c r="BE1018" s="247">
        <v>0.9</v>
      </c>
      <c r="BF1018" s="247">
        <v>1.5</v>
      </c>
      <c r="BG1018" s="247">
        <v>2.9</v>
      </c>
      <c r="BH1018" s="247">
        <v>5</v>
      </c>
      <c r="BI1018" s="247">
        <v>9.8000000000000007</v>
      </c>
      <c r="BJ1018" s="247">
        <v>13.7</v>
      </c>
      <c r="BK1018" s="247">
        <v>11.8</v>
      </c>
      <c r="BL1018" s="247">
        <v>7.2</v>
      </c>
      <c r="BM1018" s="247">
        <v>3.8</v>
      </c>
      <c r="BN1018" s="247">
        <v>1.6</v>
      </c>
      <c r="BO1018" s="247">
        <v>0.8</v>
      </c>
      <c r="BP1018" s="248">
        <v>5</v>
      </c>
    </row>
    <row r="1019" spans="1:68" ht="14.25" customHeight="1">
      <c r="A1019" s="233">
        <v>362</v>
      </c>
      <c r="B1019" s="234">
        <v>423</v>
      </c>
      <c r="C1019" s="244" t="s">
        <v>928</v>
      </c>
      <c r="D1019" s="244" t="s">
        <v>969</v>
      </c>
      <c r="E1019" s="244" t="s">
        <v>2018</v>
      </c>
      <c r="F1019" s="245">
        <v>-46.3</v>
      </c>
      <c r="G1019" s="245">
        <v>-41.6</v>
      </c>
      <c r="H1019" s="245">
        <v>-29.1</v>
      </c>
      <c r="I1019" s="245">
        <v>-11.3</v>
      </c>
      <c r="J1019" s="245">
        <v>3.8</v>
      </c>
      <c r="K1019" s="245">
        <v>13.2</v>
      </c>
      <c r="L1019" s="245">
        <v>15.7</v>
      </c>
      <c r="M1019" s="245">
        <v>12.1</v>
      </c>
      <c r="N1019" s="245">
        <v>3.4</v>
      </c>
      <c r="O1019" s="245">
        <v>-14.7</v>
      </c>
      <c r="P1019" s="245">
        <v>-35.9</v>
      </c>
      <c r="Q1019" s="245">
        <v>-44.4</v>
      </c>
      <c r="R1019" s="246">
        <v>-14.6</v>
      </c>
      <c r="S1019" s="233">
        <v>423</v>
      </c>
      <c r="T1019" s="247" t="s">
        <v>2018</v>
      </c>
      <c r="U1019" s="245">
        <v>-62</v>
      </c>
      <c r="V1019" s="245">
        <v>-60</v>
      </c>
      <c r="W1019" s="245">
        <v>-60</v>
      </c>
      <c r="X1019" s="245">
        <v>-58</v>
      </c>
      <c r="Y1019" s="245">
        <v>-51</v>
      </c>
      <c r="Z1019" s="245">
        <v>-62</v>
      </c>
      <c r="AA1019" s="245">
        <v>5.2</v>
      </c>
      <c r="AB1019" s="245">
        <v>229</v>
      </c>
      <c r="AC1019" s="245">
        <v>-29.1</v>
      </c>
      <c r="AD1019" s="245">
        <v>272</v>
      </c>
      <c r="AE1019" s="245">
        <v>-23.8</v>
      </c>
      <c r="AF1019" s="245">
        <v>286</v>
      </c>
      <c r="AG1019" s="245">
        <v>-22.2</v>
      </c>
      <c r="AH1019" s="245">
        <v>71</v>
      </c>
      <c r="AI1019" s="245">
        <v>70</v>
      </c>
      <c r="AJ1019" s="245">
        <v>2</v>
      </c>
      <c r="AK1019" s="245" t="s">
        <v>971</v>
      </c>
      <c r="AL1019" s="245" t="s">
        <v>931</v>
      </c>
      <c r="AM1019" s="246">
        <v>1.8</v>
      </c>
      <c r="AN1019" s="235">
        <v>423</v>
      </c>
      <c r="AO1019" s="247" t="s">
        <v>2019</v>
      </c>
      <c r="AP1019" s="247">
        <v>945</v>
      </c>
      <c r="AQ1019" s="247">
        <v>20.100000000000001</v>
      </c>
      <c r="AR1019" s="247">
        <v>24.4</v>
      </c>
      <c r="AS1019" s="247">
        <v>22.5</v>
      </c>
      <c r="AT1019" s="247">
        <v>34</v>
      </c>
      <c r="AU1019" s="247">
        <v>13.3</v>
      </c>
      <c r="AV1019" s="247">
        <v>60</v>
      </c>
      <c r="AW1019" s="247">
        <v>46</v>
      </c>
      <c r="AX1019" s="247">
        <v>208</v>
      </c>
      <c r="AY1019" s="247">
        <v>36</v>
      </c>
      <c r="AZ1019" s="247" t="s">
        <v>978</v>
      </c>
      <c r="BA1019" s="248" t="s">
        <v>934</v>
      </c>
      <c r="BB1019" s="235">
        <v>386</v>
      </c>
      <c r="BC1019" s="247" t="s">
        <v>2018</v>
      </c>
      <c r="BD1019" s="247">
        <v>0.1</v>
      </c>
      <c r="BE1019" s="247">
        <v>0.2</v>
      </c>
      <c r="BF1019" s="247">
        <v>0.5</v>
      </c>
      <c r="BG1019" s="247">
        <v>1.7</v>
      </c>
      <c r="BH1019" s="247">
        <v>4.3</v>
      </c>
      <c r="BI1019" s="247">
        <v>8.1</v>
      </c>
      <c r="BJ1019" s="247">
        <v>10.3</v>
      </c>
      <c r="BK1019" s="247">
        <v>9.1</v>
      </c>
      <c r="BL1019" s="247">
        <v>5.4</v>
      </c>
      <c r="BM1019" s="247">
        <v>1.9</v>
      </c>
      <c r="BN1019" s="247">
        <v>0.3</v>
      </c>
      <c r="BO1019" s="247">
        <v>0.1</v>
      </c>
      <c r="BP1019" s="248">
        <v>3.5</v>
      </c>
    </row>
    <row r="1020" spans="1:68" ht="14.25" customHeight="1">
      <c r="A1020" s="233">
        <v>363</v>
      </c>
      <c r="B1020" s="234">
        <v>384</v>
      </c>
      <c r="C1020" s="244" t="s">
        <v>928</v>
      </c>
      <c r="D1020" s="244" t="s">
        <v>947</v>
      </c>
      <c r="E1020" s="244" t="s">
        <v>2020</v>
      </c>
      <c r="F1020" s="245">
        <v>-30.8</v>
      </c>
      <c r="G1020" s="245">
        <v>-26.3</v>
      </c>
      <c r="H1020" s="245">
        <v>-13.6</v>
      </c>
      <c r="I1020" s="245">
        <v>0.8</v>
      </c>
      <c r="J1020" s="245">
        <v>9.8000000000000007</v>
      </c>
      <c r="K1020" s="245">
        <v>17</v>
      </c>
      <c r="L1020" s="245">
        <v>19.7</v>
      </c>
      <c r="M1020" s="245">
        <v>16.600000000000001</v>
      </c>
      <c r="N1020" s="245">
        <v>9</v>
      </c>
      <c r="O1020" s="245">
        <v>-1</v>
      </c>
      <c r="P1020" s="245">
        <v>-16.7</v>
      </c>
      <c r="Q1020" s="245">
        <v>-28.2</v>
      </c>
      <c r="R1020" s="246">
        <v>-3.6</v>
      </c>
      <c r="S1020" s="233">
        <v>384</v>
      </c>
      <c r="T1020" s="247" t="s">
        <v>2021</v>
      </c>
      <c r="U1020" s="245">
        <v>-48</v>
      </c>
      <c r="V1020" s="245">
        <v>-46</v>
      </c>
      <c r="W1020" s="245">
        <v>-47</v>
      </c>
      <c r="X1020" s="245">
        <v>-44</v>
      </c>
      <c r="Y1020" s="245">
        <v>-36</v>
      </c>
      <c r="Z1020" s="245">
        <v>-54</v>
      </c>
      <c r="AA1020" s="245">
        <v>13.3</v>
      </c>
      <c r="AB1020" s="245">
        <v>183</v>
      </c>
      <c r="AC1020" s="245">
        <v>-19.100000000000001</v>
      </c>
      <c r="AD1020" s="245">
        <v>233</v>
      </c>
      <c r="AE1020" s="245">
        <v>-14.1</v>
      </c>
      <c r="AF1020" s="245">
        <v>247</v>
      </c>
      <c r="AG1020" s="245">
        <v>-12.8</v>
      </c>
      <c r="AH1020" s="245">
        <v>77</v>
      </c>
      <c r="AI1020" s="245">
        <v>73</v>
      </c>
      <c r="AJ1020" s="245">
        <v>23</v>
      </c>
      <c r="AK1020" s="245" t="s">
        <v>950</v>
      </c>
      <c r="AL1020" s="245">
        <v>4.4000000000000004</v>
      </c>
      <c r="AM1020" s="246">
        <v>2.1</v>
      </c>
      <c r="AN1020" s="235">
        <v>384</v>
      </c>
      <c r="AO1020" s="247" t="s">
        <v>2022</v>
      </c>
      <c r="AP1020" s="247">
        <v>950</v>
      </c>
      <c r="AQ1020" s="247">
        <v>24.3</v>
      </c>
      <c r="AR1020" s="247">
        <v>28.4</v>
      </c>
      <c r="AS1020" s="247">
        <v>26.7</v>
      </c>
      <c r="AT1020" s="247">
        <v>40</v>
      </c>
      <c r="AU1020" s="247">
        <v>13.5</v>
      </c>
      <c r="AV1020" s="247">
        <v>69</v>
      </c>
      <c r="AW1020" s="247">
        <v>52</v>
      </c>
      <c r="AX1020" s="247">
        <v>289</v>
      </c>
      <c r="AY1020" s="247">
        <v>64</v>
      </c>
      <c r="AZ1020" s="247" t="s">
        <v>940</v>
      </c>
      <c r="BA1020" s="248">
        <v>0</v>
      </c>
      <c r="BB1020" s="235">
        <v>348</v>
      </c>
      <c r="BC1020" s="247" t="s">
        <v>2020</v>
      </c>
      <c r="BD1020" s="247">
        <v>0.5</v>
      </c>
      <c r="BE1020" s="247">
        <v>0.7</v>
      </c>
      <c r="BF1020" s="247">
        <v>1.8</v>
      </c>
      <c r="BG1020" s="247">
        <v>3.5</v>
      </c>
      <c r="BH1020" s="247">
        <v>5.6</v>
      </c>
      <c r="BI1020" s="247">
        <v>10.9</v>
      </c>
      <c r="BJ1020" s="247">
        <v>15.4</v>
      </c>
      <c r="BK1020" s="247">
        <v>13.6</v>
      </c>
      <c r="BL1020" s="247">
        <v>7.9</v>
      </c>
      <c r="BM1020" s="247">
        <v>3.8</v>
      </c>
      <c r="BN1020" s="247">
        <v>1.5</v>
      </c>
      <c r="BO1020" s="247">
        <v>0.6</v>
      </c>
      <c r="BP1020" s="248">
        <v>5.5</v>
      </c>
    </row>
    <row r="1021" spans="1:68" ht="14.25" customHeight="1">
      <c r="A1021" s="233">
        <v>364</v>
      </c>
      <c r="B1021" s="234">
        <v>385</v>
      </c>
      <c r="C1021" s="244" t="s">
        <v>928</v>
      </c>
      <c r="D1021" s="244" t="s">
        <v>947</v>
      </c>
      <c r="E1021" s="244" t="s">
        <v>2023</v>
      </c>
      <c r="F1021" s="245">
        <v>-28.6</v>
      </c>
      <c r="G1021" s="245">
        <v>-23.5</v>
      </c>
      <c r="H1021" s="245">
        <v>-12.9</v>
      </c>
      <c r="I1021" s="245">
        <v>0</v>
      </c>
      <c r="J1021" s="245">
        <v>8.9</v>
      </c>
      <c r="K1021" s="245">
        <v>15.5</v>
      </c>
      <c r="L1021" s="245">
        <v>18.8</v>
      </c>
      <c r="M1021" s="245">
        <v>15.9</v>
      </c>
      <c r="N1021" s="245">
        <v>8.9</v>
      </c>
      <c r="O1021" s="245">
        <v>-0.9</v>
      </c>
      <c r="P1021" s="245">
        <v>-15.2</v>
      </c>
      <c r="Q1021" s="245">
        <v>-25.8</v>
      </c>
      <c r="R1021" s="246">
        <v>-3.2</v>
      </c>
      <c r="S1021" s="233">
        <v>385</v>
      </c>
      <c r="T1021" s="247" t="s">
        <v>2024</v>
      </c>
      <c r="U1021" s="245">
        <v>-45</v>
      </c>
      <c r="V1021" s="245">
        <v>-43</v>
      </c>
      <c r="W1021" s="245">
        <v>-43</v>
      </c>
      <c r="X1021" s="245">
        <v>-41</v>
      </c>
      <c r="Y1021" s="245">
        <v>-34</v>
      </c>
      <c r="Z1021" s="245">
        <v>-53</v>
      </c>
      <c r="AA1021" s="245">
        <v>10</v>
      </c>
      <c r="AB1021" s="245">
        <v>184</v>
      </c>
      <c r="AC1021" s="245">
        <v>-17.399999999999999</v>
      </c>
      <c r="AD1021" s="245">
        <v>237</v>
      </c>
      <c r="AE1021" s="245">
        <v>-12.7</v>
      </c>
      <c r="AF1021" s="245">
        <v>252</v>
      </c>
      <c r="AG1021" s="245">
        <v>-11.3</v>
      </c>
      <c r="AH1021" s="245">
        <v>78</v>
      </c>
      <c r="AI1021" s="245">
        <v>76</v>
      </c>
      <c r="AJ1021" s="245">
        <v>32</v>
      </c>
      <c r="AK1021" s="245" t="s">
        <v>944</v>
      </c>
      <c r="AL1021" s="245">
        <v>2.7</v>
      </c>
      <c r="AM1021" s="246">
        <v>1.2</v>
      </c>
      <c r="AN1021" s="235">
        <v>385</v>
      </c>
      <c r="AO1021" s="247" t="s">
        <v>2025</v>
      </c>
      <c r="AP1021" s="247">
        <v>935</v>
      </c>
      <c r="AQ1021" s="247">
        <v>22.8</v>
      </c>
      <c r="AR1021" s="247">
        <v>26.9</v>
      </c>
      <c r="AS1021" s="247">
        <v>25.2</v>
      </c>
      <c r="AT1021" s="247">
        <v>40</v>
      </c>
      <c r="AU1021" s="247">
        <v>13.1</v>
      </c>
      <c r="AV1021" s="247">
        <v>75</v>
      </c>
      <c r="AW1021" s="247">
        <v>59</v>
      </c>
      <c r="AX1021" s="247">
        <v>375</v>
      </c>
      <c r="AY1021" s="247">
        <v>78</v>
      </c>
      <c r="AZ1021" s="247" t="s">
        <v>959</v>
      </c>
      <c r="BA1021" s="248">
        <v>0</v>
      </c>
      <c r="BB1021" s="235">
        <v>349</v>
      </c>
      <c r="BC1021" s="247" t="s">
        <v>2023</v>
      </c>
      <c r="BD1021" s="247">
        <v>0.6</v>
      </c>
      <c r="BE1021" s="247">
        <v>0.8</v>
      </c>
      <c r="BF1021" s="247">
        <v>1.7</v>
      </c>
      <c r="BG1021" s="247">
        <v>3.3</v>
      </c>
      <c r="BH1021" s="247">
        <v>5.5</v>
      </c>
      <c r="BI1021" s="247">
        <v>11.3</v>
      </c>
      <c r="BJ1021" s="247">
        <v>15.6</v>
      </c>
      <c r="BK1021" s="247">
        <v>13.6</v>
      </c>
      <c r="BL1021" s="247">
        <v>7.8</v>
      </c>
      <c r="BM1021" s="247">
        <v>3.7</v>
      </c>
      <c r="BN1021" s="247">
        <v>1.6</v>
      </c>
      <c r="BO1021" s="247">
        <v>0.7</v>
      </c>
      <c r="BP1021" s="248">
        <v>5.5</v>
      </c>
    </row>
    <row r="1022" spans="1:68" ht="14.25" customHeight="1">
      <c r="A1022" s="233">
        <v>365</v>
      </c>
      <c r="B1022" s="234">
        <v>220</v>
      </c>
      <c r="C1022" s="244" t="s">
        <v>928</v>
      </c>
      <c r="D1022" s="244" t="s">
        <v>1246</v>
      </c>
      <c r="E1022" s="244" t="s">
        <v>2026</v>
      </c>
      <c r="F1022" s="245">
        <v>-13.1</v>
      </c>
      <c r="G1022" s="245">
        <v>-13</v>
      </c>
      <c r="H1022" s="245">
        <v>-8.1</v>
      </c>
      <c r="I1022" s="245">
        <v>-1.7</v>
      </c>
      <c r="J1022" s="245">
        <v>4.2</v>
      </c>
      <c r="K1022" s="245">
        <v>10.5</v>
      </c>
      <c r="L1022" s="245">
        <v>13.5</v>
      </c>
      <c r="M1022" s="245">
        <v>11.6</v>
      </c>
      <c r="N1022" s="245">
        <v>6.3</v>
      </c>
      <c r="O1022" s="245">
        <v>-0.1</v>
      </c>
      <c r="P1022" s="245">
        <v>-6.1</v>
      </c>
      <c r="Q1022" s="245">
        <v>-10.199999999999999</v>
      </c>
      <c r="R1022" s="246">
        <v>-0.5</v>
      </c>
      <c r="S1022" s="233">
        <v>220</v>
      </c>
      <c r="T1022" s="247" t="s">
        <v>2027</v>
      </c>
      <c r="U1022" s="245">
        <v>-46</v>
      </c>
      <c r="V1022" s="245">
        <v>-40</v>
      </c>
      <c r="W1022" s="245">
        <v>-38</v>
      </c>
      <c r="X1022" s="245">
        <v>-36</v>
      </c>
      <c r="Y1022" s="245">
        <v>-18</v>
      </c>
      <c r="Z1022" s="245">
        <v>-45</v>
      </c>
      <c r="AA1022" s="245">
        <v>9</v>
      </c>
      <c r="AB1022" s="245">
        <v>191</v>
      </c>
      <c r="AC1022" s="245">
        <v>-8.1999999999999993</v>
      </c>
      <c r="AD1022" s="245">
        <v>271</v>
      </c>
      <c r="AE1022" s="245">
        <v>-4.5999999999999996</v>
      </c>
      <c r="AF1022" s="245">
        <v>292</v>
      </c>
      <c r="AG1022" s="245">
        <v>-3.6</v>
      </c>
      <c r="AH1022" s="245">
        <v>83</v>
      </c>
      <c r="AI1022" s="245">
        <v>83</v>
      </c>
      <c r="AJ1022" s="245">
        <v>169</v>
      </c>
      <c r="AK1022" s="245" t="s">
        <v>971</v>
      </c>
      <c r="AL1022" s="245" t="s">
        <v>931</v>
      </c>
      <c r="AM1022" s="246">
        <v>2.5</v>
      </c>
      <c r="AN1022" s="235">
        <v>220</v>
      </c>
      <c r="AO1022" s="247" t="s">
        <v>2028</v>
      </c>
      <c r="AP1022" s="247">
        <v>1000</v>
      </c>
      <c r="AQ1022" s="247">
        <v>16.3</v>
      </c>
      <c r="AR1022" s="247">
        <v>20.8</v>
      </c>
      <c r="AS1022" s="247">
        <v>18.7</v>
      </c>
      <c r="AT1022" s="247">
        <v>32</v>
      </c>
      <c r="AU1022" s="247">
        <v>10.1</v>
      </c>
      <c r="AV1022" s="247">
        <v>72</v>
      </c>
      <c r="AW1022" s="247">
        <v>59</v>
      </c>
      <c r="AX1022" s="247">
        <v>377</v>
      </c>
      <c r="AY1022" s="247">
        <v>60</v>
      </c>
      <c r="AZ1022" s="247" t="s">
        <v>940</v>
      </c>
      <c r="BA1022" s="248" t="s">
        <v>934</v>
      </c>
      <c r="BB1022" s="235">
        <v>195</v>
      </c>
      <c r="BC1022" s="247" t="s">
        <v>2026</v>
      </c>
      <c r="BD1022" s="247">
        <v>2.2999999999999998</v>
      </c>
      <c r="BE1022" s="247">
        <v>2.2000000000000002</v>
      </c>
      <c r="BF1022" s="247">
        <v>2.9</v>
      </c>
      <c r="BG1022" s="247">
        <v>4</v>
      </c>
      <c r="BH1022" s="247">
        <v>5.6</v>
      </c>
      <c r="BI1022" s="247">
        <v>8.5</v>
      </c>
      <c r="BJ1022" s="247">
        <v>11.1</v>
      </c>
      <c r="BK1022" s="247">
        <v>10.9</v>
      </c>
      <c r="BL1022" s="247">
        <v>8.1999999999999993</v>
      </c>
      <c r="BM1022" s="247">
        <v>5.5</v>
      </c>
      <c r="BN1022" s="247">
        <v>3.8</v>
      </c>
      <c r="BO1022" s="247">
        <v>2.9</v>
      </c>
      <c r="BP1022" s="248">
        <v>5.8</v>
      </c>
    </row>
    <row r="1023" spans="1:68" ht="14.25" customHeight="1">
      <c r="A1023" s="233">
        <v>366</v>
      </c>
      <c r="B1023" s="234">
        <v>59</v>
      </c>
      <c r="C1023" s="244" t="s">
        <v>928</v>
      </c>
      <c r="D1023" s="244" t="s">
        <v>1089</v>
      </c>
      <c r="E1023" s="244" t="s">
        <v>2029</v>
      </c>
      <c r="F1023" s="245">
        <v>-22.6</v>
      </c>
      <c r="G1023" s="245">
        <v>-21.3</v>
      </c>
      <c r="H1023" s="245">
        <v>-13.4</v>
      </c>
      <c r="I1023" s="245">
        <v>-3.2</v>
      </c>
      <c r="J1023" s="245">
        <v>4.3</v>
      </c>
      <c r="K1023" s="245">
        <v>11.2</v>
      </c>
      <c r="L1023" s="245">
        <v>15.5</v>
      </c>
      <c r="M1023" s="245">
        <v>14.6</v>
      </c>
      <c r="N1023" s="245">
        <v>8.3000000000000007</v>
      </c>
      <c r="O1023" s="245">
        <v>-0.6</v>
      </c>
      <c r="P1023" s="245">
        <v>-11.8</v>
      </c>
      <c r="Q1023" s="245">
        <v>-18.399999999999999</v>
      </c>
      <c r="R1023" s="246">
        <v>-3.1</v>
      </c>
      <c r="S1023" s="233">
        <v>59</v>
      </c>
      <c r="T1023" s="247" t="s">
        <v>2030</v>
      </c>
      <c r="U1023" s="245">
        <v>-38</v>
      </c>
      <c r="V1023" s="245">
        <v>-36</v>
      </c>
      <c r="W1023" s="245">
        <v>-35</v>
      </c>
      <c r="X1023" s="245">
        <v>-33</v>
      </c>
      <c r="Y1023" s="245">
        <v>-28</v>
      </c>
      <c r="Z1023" s="245">
        <v>-47</v>
      </c>
      <c r="AA1023" s="245">
        <v>7.8</v>
      </c>
      <c r="AB1023" s="245">
        <v>197</v>
      </c>
      <c r="AC1023" s="245">
        <v>-13.8</v>
      </c>
      <c r="AD1023" s="245">
        <v>258</v>
      </c>
      <c r="AE1023" s="245">
        <v>-9.6</v>
      </c>
      <c r="AF1023" s="245">
        <v>276</v>
      </c>
      <c r="AG1023" s="245">
        <v>-8.4</v>
      </c>
      <c r="AH1023" s="245">
        <v>74</v>
      </c>
      <c r="AI1023" s="245">
        <v>71</v>
      </c>
      <c r="AJ1023" s="245">
        <v>80</v>
      </c>
      <c r="AK1023" s="245" t="s">
        <v>938</v>
      </c>
      <c r="AL1023" s="245" t="s">
        <v>931</v>
      </c>
      <c r="AM1023" s="246">
        <v>2</v>
      </c>
      <c r="AN1023" s="235">
        <v>59</v>
      </c>
      <c r="AO1023" s="247" t="s">
        <v>2031</v>
      </c>
      <c r="AP1023" s="247">
        <v>950</v>
      </c>
      <c r="AQ1023" s="247">
        <v>18.600000000000001</v>
      </c>
      <c r="AR1023" s="247">
        <v>23</v>
      </c>
      <c r="AS1023" s="247">
        <v>21</v>
      </c>
      <c r="AT1023" s="247">
        <v>35</v>
      </c>
      <c r="AU1023" s="247">
        <v>10.3</v>
      </c>
      <c r="AV1023" s="247">
        <v>77</v>
      </c>
      <c r="AW1023" s="247">
        <v>66</v>
      </c>
      <c r="AX1023" s="247">
        <v>298</v>
      </c>
      <c r="AY1023" s="247">
        <v>58</v>
      </c>
      <c r="AZ1023" s="247" t="s">
        <v>973</v>
      </c>
      <c r="BA1023" s="248">
        <v>0</v>
      </c>
      <c r="BB1023" s="235">
        <v>45</v>
      </c>
      <c r="BC1023" s="247" t="s">
        <v>2029</v>
      </c>
      <c r="BD1023" s="247">
        <v>0.8</v>
      </c>
      <c r="BE1023" s="247">
        <v>0.9</v>
      </c>
      <c r="BF1023" s="247">
        <v>1.6</v>
      </c>
      <c r="BG1023" s="247">
        <v>3.1</v>
      </c>
      <c r="BH1023" s="247">
        <v>5.0999999999999996</v>
      </c>
      <c r="BI1023" s="247">
        <v>9.1</v>
      </c>
      <c r="BJ1023" s="247">
        <v>13.1</v>
      </c>
      <c r="BK1023" s="247">
        <v>12.5</v>
      </c>
      <c r="BL1023" s="247">
        <v>7.5</v>
      </c>
      <c r="BM1023" s="247">
        <v>3.8</v>
      </c>
      <c r="BN1023" s="247">
        <v>1.8</v>
      </c>
      <c r="BO1023" s="247">
        <v>1.1000000000000001</v>
      </c>
      <c r="BP1023" s="248">
        <v>5</v>
      </c>
    </row>
    <row r="1024" spans="1:68" ht="14.25" customHeight="1">
      <c r="A1024" s="233">
        <v>367</v>
      </c>
      <c r="B1024" s="234">
        <v>357</v>
      </c>
      <c r="C1024" s="244" t="s">
        <v>928</v>
      </c>
      <c r="D1024" s="244" t="s">
        <v>1081</v>
      </c>
      <c r="E1024" s="244" t="s">
        <v>2032</v>
      </c>
      <c r="F1024" s="245">
        <v>-26.4</v>
      </c>
      <c r="G1024" s="245">
        <v>-21.1</v>
      </c>
      <c r="H1024" s="245">
        <v>-11</v>
      </c>
      <c r="I1024" s="245">
        <v>0.3</v>
      </c>
      <c r="J1024" s="245">
        <v>8.1999999999999993</v>
      </c>
      <c r="K1024" s="245">
        <v>15.1</v>
      </c>
      <c r="L1024" s="245">
        <v>19.3</v>
      </c>
      <c r="M1024" s="245">
        <v>18.2</v>
      </c>
      <c r="N1024" s="245">
        <v>12.1</v>
      </c>
      <c r="O1024" s="245">
        <v>2.6</v>
      </c>
      <c r="P1024" s="245">
        <v>-10.8</v>
      </c>
      <c r="Q1024" s="245">
        <v>-21.8</v>
      </c>
      <c r="R1024" s="246">
        <v>-1.3</v>
      </c>
      <c r="S1024" s="233">
        <v>357</v>
      </c>
      <c r="T1024" s="247" t="s">
        <v>2033</v>
      </c>
      <c r="U1024" s="245">
        <v>-40</v>
      </c>
      <c r="V1024" s="245">
        <v>-38</v>
      </c>
      <c r="W1024" s="245">
        <v>-38</v>
      </c>
      <c r="X1024" s="245">
        <v>-36</v>
      </c>
      <c r="Y1024" s="245">
        <v>-31</v>
      </c>
      <c r="Z1024" s="245">
        <v>-53</v>
      </c>
      <c r="AA1024" s="245">
        <v>13.7</v>
      </c>
      <c r="AB1024" s="245">
        <v>175</v>
      </c>
      <c r="AC1024" s="245">
        <v>-15.5</v>
      </c>
      <c r="AD1024" s="245">
        <v>229</v>
      </c>
      <c r="AE1024" s="245">
        <v>-10.9</v>
      </c>
      <c r="AF1024" s="245">
        <v>244</v>
      </c>
      <c r="AG1024" s="245">
        <v>-9.6</v>
      </c>
      <c r="AH1024" s="245">
        <v>78</v>
      </c>
      <c r="AI1024" s="245">
        <v>72</v>
      </c>
      <c r="AJ1024" s="245">
        <v>119</v>
      </c>
      <c r="AK1024" s="245" t="s">
        <v>971</v>
      </c>
      <c r="AL1024" s="245" t="s">
        <v>931</v>
      </c>
      <c r="AM1024" s="246" t="s">
        <v>931</v>
      </c>
      <c r="AN1024" s="235">
        <v>357</v>
      </c>
      <c r="AO1024" s="247" t="s">
        <v>2034</v>
      </c>
      <c r="AP1024" s="247">
        <v>1005</v>
      </c>
      <c r="AQ1024" s="247">
        <v>22.8</v>
      </c>
      <c r="AR1024" s="247">
        <v>26.9</v>
      </c>
      <c r="AS1024" s="247">
        <v>25.2</v>
      </c>
      <c r="AT1024" s="247">
        <v>36</v>
      </c>
      <c r="AU1024" s="247">
        <v>11.3</v>
      </c>
      <c r="AV1024" s="247">
        <v>78</v>
      </c>
      <c r="AW1024" s="247">
        <v>64</v>
      </c>
      <c r="AX1024" s="247">
        <v>586</v>
      </c>
      <c r="AY1024" s="247" t="s">
        <v>965</v>
      </c>
      <c r="AZ1024" s="247" t="s">
        <v>940</v>
      </c>
      <c r="BA1024" s="248" t="s">
        <v>934</v>
      </c>
      <c r="BB1024" s="235">
        <v>322</v>
      </c>
      <c r="BC1024" s="247" t="s">
        <v>2032</v>
      </c>
      <c r="BD1024" s="247">
        <v>0.7</v>
      </c>
      <c r="BE1024" s="247">
        <v>1</v>
      </c>
      <c r="BF1024" s="247">
        <v>2</v>
      </c>
      <c r="BG1024" s="247">
        <v>4.4000000000000004</v>
      </c>
      <c r="BH1024" s="247">
        <v>7.3</v>
      </c>
      <c r="BI1024" s="247">
        <v>12.6</v>
      </c>
      <c r="BJ1024" s="247">
        <v>17.600000000000001</v>
      </c>
      <c r="BK1024" s="247">
        <v>17.399999999999999</v>
      </c>
      <c r="BL1024" s="247">
        <v>11.7</v>
      </c>
      <c r="BM1024" s="247">
        <v>5.7</v>
      </c>
      <c r="BN1024" s="247">
        <v>2.4</v>
      </c>
      <c r="BO1024" s="247">
        <v>1.1000000000000001</v>
      </c>
      <c r="BP1024" s="248">
        <v>7</v>
      </c>
    </row>
    <row r="1025" spans="1:68" ht="14.25" customHeight="1">
      <c r="A1025" s="233">
        <v>368</v>
      </c>
      <c r="B1025" s="234">
        <v>229</v>
      </c>
      <c r="C1025" s="244" t="s">
        <v>928</v>
      </c>
      <c r="D1025" s="244" t="s">
        <v>1030</v>
      </c>
      <c r="E1025" s="244" t="s">
        <v>199</v>
      </c>
      <c r="F1025" s="245">
        <v>-11.8</v>
      </c>
      <c r="G1025" s="245">
        <v>-11.1</v>
      </c>
      <c r="H1025" s="245">
        <v>-5</v>
      </c>
      <c r="I1025" s="245">
        <v>4.2</v>
      </c>
      <c r="J1025" s="245">
        <v>12</v>
      </c>
      <c r="K1025" s="245">
        <v>16.399999999999999</v>
      </c>
      <c r="L1025" s="245">
        <v>18.399999999999999</v>
      </c>
      <c r="M1025" s="245">
        <v>16.899999999999999</v>
      </c>
      <c r="N1025" s="245">
        <v>11</v>
      </c>
      <c r="O1025" s="245">
        <v>3.6</v>
      </c>
      <c r="P1025" s="245">
        <v>-2.8</v>
      </c>
      <c r="Q1025" s="245">
        <v>-8.9</v>
      </c>
      <c r="R1025" s="246">
        <v>3.6</v>
      </c>
      <c r="S1025" s="233">
        <v>229</v>
      </c>
      <c r="T1025" s="247" t="s">
        <v>2035</v>
      </c>
      <c r="U1025" s="245">
        <v>-38</v>
      </c>
      <c r="V1025" s="245">
        <v>-34</v>
      </c>
      <c r="W1025" s="245">
        <v>-34</v>
      </c>
      <c r="X1025" s="245">
        <v>-31</v>
      </c>
      <c r="Y1025" s="245">
        <v>-17</v>
      </c>
      <c r="Z1025" s="245">
        <v>-41</v>
      </c>
      <c r="AA1025" s="245">
        <v>6.1</v>
      </c>
      <c r="AB1025" s="245">
        <v>151</v>
      </c>
      <c r="AC1025" s="245">
        <v>-7.5</v>
      </c>
      <c r="AD1025" s="245">
        <v>215</v>
      </c>
      <c r="AE1025" s="245">
        <v>-4.0999999999999996</v>
      </c>
      <c r="AF1025" s="245">
        <v>231</v>
      </c>
      <c r="AG1025" s="245">
        <v>-3.2</v>
      </c>
      <c r="AH1025" s="245">
        <v>84</v>
      </c>
      <c r="AI1025" s="245">
        <v>80</v>
      </c>
      <c r="AJ1025" s="245">
        <v>172</v>
      </c>
      <c r="AK1025" s="245" t="s">
        <v>971</v>
      </c>
      <c r="AL1025" s="245">
        <v>5.0999999999999996</v>
      </c>
      <c r="AM1025" s="246">
        <v>3.7</v>
      </c>
      <c r="AN1025" s="235">
        <v>229</v>
      </c>
      <c r="AO1025" s="247" t="s">
        <v>2036</v>
      </c>
      <c r="AP1025" s="247">
        <v>995</v>
      </c>
      <c r="AQ1025" s="247">
        <v>22.4</v>
      </c>
      <c r="AR1025" s="247">
        <v>26.2</v>
      </c>
      <c r="AS1025" s="247">
        <v>23.5</v>
      </c>
      <c r="AT1025" s="247">
        <v>36</v>
      </c>
      <c r="AU1025" s="247">
        <v>9.3000000000000007</v>
      </c>
      <c r="AV1025" s="247">
        <v>70</v>
      </c>
      <c r="AW1025" s="247">
        <v>56</v>
      </c>
      <c r="AX1025" s="247">
        <v>410</v>
      </c>
      <c r="AY1025" s="247">
        <v>72</v>
      </c>
      <c r="AZ1025" s="247" t="s">
        <v>952</v>
      </c>
      <c r="BA1025" s="248">
        <v>0</v>
      </c>
      <c r="BB1025" s="235">
        <v>202</v>
      </c>
      <c r="BC1025" s="247" t="s">
        <v>199</v>
      </c>
      <c r="BD1025" s="247">
        <v>2.5</v>
      </c>
      <c r="BE1025" s="247">
        <v>2.5</v>
      </c>
      <c r="BF1025" s="247">
        <v>3.6</v>
      </c>
      <c r="BG1025" s="247">
        <v>6</v>
      </c>
      <c r="BH1025" s="247">
        <v>8.6999999999999993</v>
      </c>
      <c r="BI1025" s="247">
        <v>12</v>
      </c>
      <c r="BJ1025" s="247">
        <v>14.8</v>
      </c>
      <c r="BK1025" s="247">
        <v>13.7</v>
      </c>
      <c r="BL1025" s="247">
        <v>10.1</v>
      </c>
      <c r="BM1025" s="247">
        <v>6.6</v>
      </c>
      <c r="BN1025" s="247">
        <v>4.5</v>
      </c>
      <c r="BO1025" s="247">
        <v>3.2</v>
      </c>
      <c r="BP1025" s="248">
        <v>7.3</v>
      </c>
    </row>
    <row r="1026" spans="1:68" ht="14.25" customHeight="1">
      <c r="A1026" s="233">
        <v>369</v>
      </c>
      <c r="B1026" s="234">
        <v>626</v>
      </c>
      <c r="C1026" s="244" t="s">
        <v>953</v>
      </c>
      <c r="D1026" s="244" t="s">
        <v>2037</v>
      </c>
      <c r="E1026" s="244" t="s">
        <v>2038</v>
      </c>
      <c r="F1026" s="245">
        <v>-3.1</v>
      </c>
      <c r="G1026" s="245">
        <v>-1.8</v>
      </c>
      <c r="H1026" s="245">
        <v>2.6</v>
      </c>
      <c r="I1026" s="245">
        <v>10.199999999999999</v>
      </c>
      <c r="J1026" s="245">
        <v>16.5</v>
      </c>
      <c r="K1026" s="245">
        <v>20.399999999999999</v>
      </c>
      <c r="L1026" s="245">
        <v>22.3</v>
      </c>
      <c r="M1026" s="245">
        <v>21.8</v>
      </c>
      <c r="N1026" s="245">
        <v>16.899999999999999</v>
      </c>
      <c r="O1026" s="245">
        <v>10.3</v>
      </c>
      <c r="P1026" s="245">
        <v>4.4000000000000004</v>
      </c>
      <c r="Q1026" s="245">
        <v>-0.1</v>
      </c>
      <c r="R1026" s="246">
        <v>10</v>
      </c>
      <c r="S1026" s="233">
        <v>615</v>
      </c>
      <c r="T1026" s="247" t="s">
        <v>2038</v>
      </c>
      <c r="U1026" s="245">
        <v>-26</v>
      </c>
      <c r="V1026" s="245">
        <v>-23</v>
      </c>
      <c r="W1026" s="245">
        <v>-22</v>
      </c>
      <c r="X1026" s="245">
        <v>-20</v>
      </c>
      <c r="Y1026" s="245">
        <v>-7</v>
      </c>
      <c r="Z1026" s="245">
        <v>-30</v>
      </c>
      <c r="AA1026" s="245" t="s">
        <v>956</v>
      </c>
      <c r="AB1026" s="245">
        <v>76</v>
      </c>
      <c r="AC1026" s="245">
        <v>-2.2000000000000002</v>
      </c>
      <c r="AD1026" s="245">
        <v>160</v>
      </c>
      <c r="AE1026" s="245">
        <v>0.9</v>
      </c>
      <c r="AF1026" s="245">
        <v>176</v>
      </c>
      <c r="AG1026" s="245">
        <v>1</v>
      </c>
      <c r="AH1026" s="245" t="s">
        <v>956</v>
      </c>
      <c r="AI1026" s="245" t="s">
        <v>956</v>
      </c>
      <c r="AJ1026" s="245">
        <v>178</v>
      </c>
      <c r="AK1026" s="245" t="s">
        <v>938</v>
      </c>
      <c r="AL1026" s="245" t="s">
        <v>931</v>
      </c>
      <c r="AM1026" s="246" t="s">
        <v>931</v>
      </c>
      <c r="AN1026" s="235">
        <v>616</v>
      </c>
      <c r="AO1026" s="247" t="s">
        <v>2039</v>
      </c>
      <c r="AP1026" s="247">
        <v>1010</v>
      </c>
      <c r="AQ1026" s="247">
        <v>31</v>
      </c>
      <c r="AR1026" s="247">
        <v>26</v>
      </c>
      <c r="AS1026" s="247">
        <v>28.5</v>
      </c>
      <c r="AT1026" s="247">
        <v>39</v>
      </c>
      <c r="AU1026" s="247" t="s">
        <v>934</v>
      </c>
      <c r="AV1026" s="247" t="s">
        <v>958</v>
      </c>
      <c r="AW1026" s="247" t="s">
        <v>931</v>
      </c>
      <c r="AX1026" s="247" t="s">
        <v>931</v>
      </c>
      <c r="AY1026" s="247">
        <v>144</v>
      </c>
      <c r="AZ1026" s="247" t="s">
        <v>1005</v>
      </c>
      <c r="BA1026" s="248">
        <v>2.1</v>
      </c>
      <c r="BB1026" s="235"/>
      <c r="BC1026" s="247" t="s">
        <v>2038</v>
      </c>
      <c r="BD1026" s="247"/>
      <c r="BE1026" s="247"/>
      <c r="BF1026" s="247"/>
      <c r="BG1026" s="247"/>
      <c r="BH1026" s="247"/>
      <c r="BI1026" s="247"/>
      <c r="BJ1026" s="247"/>
      <c r="BK1026" s="247"/>
      <c r="BL1026" s="247"/>
      <c r="BM1026" s="247"/>
      <c r="BN1026" s="247"/>
      <c r="BO1026" s="247"/>
      <c r="BP1026" s="248"/>
    </row>
    <row r="1027" spans="1:68" ht="14.25" customHeight="1">
      <c r="A1027" s="233">
        <v>370</v>
      </c>
      <c r="B1027" s="234">
        <v>358</v>
      </c>
      <c r="C1027" s="244" t="s">
        <v>928</v>
      </c>
      <c r="D1027" s="244" t="s">
        <v>1081</v>
      </c>
      <c r="E1027" s="244" t="s">
        <v>2040</v>
      </c>
      <c r="F1027" s="245">
        <v>-23.9</v>
      </c>
      <c r="G1027" s="245">
        <v>-20</v>
      </c>
      <c r="H1027" s="245">
        <v>-12.7</v>
      </c>
      <c r="I1027" s="245">
        <v>-2.9</v>
      </c>
      <c r="J1027" s="245">
        <v>3.7</v>
      </c>
      <c r="K1027" s="245">
        <v>11.5</v>
      </c>
      <c r="L1027" s="245">
        <v>16.5</v>
      </c>
      <c r="M1027" s="245">
        <v>16.2</v>
      </c>
      <c r="N1027" s="245">
        <v>11.1</v>
      </c>
      <c r="O1027" s="245">
        <v>2</v>
      </c>
      <c r="P1027" s="245">
        <v>-9.9</v>
      </c>
      <c r="Q1027" s="245">
        <v>-19.8</v>
      </c>
      <c r="R1027" s="246">
        <v>-2.4</v>
      </c>
      <c r="S1027" s="233">
        <v>358</v>
      </c>
      <c r="T1027" s="247" t="s">
        <v>2041</v>
      </c>
      <c r="U1027" s="245">
        <v>-41</v>
      </c>
      <c r="V1027" s="245">
        <v>-38</v>
      </c>
      <c r="W1027" s="245">
        <v>-39</v>
      </c>
      <c r="X1027" s="245">
        <v>-35</v>
      </c>
      <c r="Y1027" s="245">
        <v>-29</v>
      </c>
      <c r="Z1027" s="245">
        <v>-47</v>
      </c>
      <c r="AA1027" s="245">
        <v>8.5</v>
      </c>
      <c r="AB1027" s="245">
        <v>189</v>
      </c>
      <c r="AC1027" s="245">
        <v>-13.9</v>
      </c>
      <c r="AD1027" s="245">
        <v>249</v>
      </c>
      <c r="AE1027" s="245">
        <v>-9.6</v>
      </c>
      <c r="AF1027" s="245">
        <v>263</v>
      </c>
      <c r="AG1027" s="245">
        <v>-8.6</v>
      </c>
      <c r="AH1027" s="245">
        <v>78</v>
      </c>
      <c r="AI1027" s="245">
        <v>76</v>
      </c>
      <c r="AJ1027" s="245">
        <v>210</v>
      </c>
      <c r="AK1027" s="245" t="s">
        <v>950</v>
      </c>
      <c r="AL1027" s="245">
        <v>4.5</v>
      </c>
      <c r="AM1027" s="246" t="s">
        <v>931</v>
      </c>
      <c r="AN1027" s="235">
        <v>358</v>
      </c>
      <c r="AO1027" s="247" t="s">
        <v>2042</v>
      </c>
      <c r="AP1027" s="247">
        <v>1005</v>
      </c>
      <c r="AQ1027" s="247">
        <v>19.2</v>
      </c>
      <c r="AR1027" s="247">
        <v>23</v>
      </c>
      <c r="AS1027" s="247">
        <v>21.5</v>
      </c>
      <c r="AT1027" s="247">
        <v>35</v>
      </c>
      <c r="AU1027" s="247">
        <v>9.5</v>
      </c>
      <c r="AV1027" s="247">
        <v>80</v>
      </c>
      <c r="AW1027" s="247">
        <v>70</v>
      </c>
      <c r="AX1027" s="247">
        <v>447</v>
      </c>
      <c r="AY1027" s="247">
        <v>82</v>
      </c>
      <c r="AZ1027" s="247" t="s">
        <v>1038</v>
      </c>
      <c r="BA1027" s="248">
        <v>3.4</v>
      </c>
      <c r="BB1027" s="235">
        <v>323</v>
      </c>
      <c r="BC1027" s="247" t="s">
        <v>2040</v>
      </c>
      <c r="BD1027" s="247">
        <v>0.8</v>
      </c>
      <c r="BE1027" s="247">
        <v>1.1000000000000001</v>
      </c>
      <c r="BF1027" s="247">
        <v>1.9</v>
      </c>
      <c r="BG1027" s="247">
        <v>3.8</v>
      </c>
      <c r="BH1027" s="247">
        <v>6.3</v>
      </c>
      <c r="BI1027" s="247">
        <v>10.8</v>
      </c>
      <c r="BJ1027" s="247">
        <v>15.1</v>
      </c>
      <c r="BK1027" s="247">
        <v>15</v>
      </c>
      <c r="BL1027" s="247">
        <v>10.5</v>
      </c>
      <c r="BM1027" s="247">
        <v>5.3</v>
      </c>
      <c r="BN1027" s="247">
        <v>2.2999999999999998</v>
      </c>
      <c r="BO1027" s="247">
        <v>1.2</v>
      </c>
      <c r="BP1027" s="248">
        <v>6.2</v>
      </c>
    </row>
    <row r="1028" spans="1:68" ht="14.25" customHeight="1">
      <c r="A1028" s="233">
        <v>371</v>
      </c>
      <c r="B1028" s="234">
        <v>75</v>
      </c>
      <c r="C1028" s="244" t="s">
        <v>928</v>
      </c>
      <c r="D1028" s="244" t="s">
        <v>1085</v>
      </c>
      <c r="E1028" s="244" t="s">
        <v>2043</v>
      </c>
      <c r="F1028" s="245">
        <v>-13.8</v>
      </c>
      <c r="G1028" s="245">
        <v>-12.9</v>
      </c>
      <c r="H1028" s="245">
        <v>-6.6</v>
      </c>
      <c r="I1028" s="245">
        <v>2</v>
      </c>
      <c r="J1028" s="245">
        <v>9</v>
      </c>
      <c r="K1028" s="245">
        <v>14.5</v>
      </c>
      <c r="L1028" s="245">
        <v>16.8</v>
      </c>
      <c r="M1028" s="245">
        <v>14.5</v>
      </c>
      <c r="N1028" s="245">
        <v>8.5</v>
      </c>
      <c r="O1028" s="245">
        <v>1.6</v>
      </c>
      <c r="P1028" s="245">
        <v>-4.5999999999999996</v>
      </c>
      <c r="Q1028" s="245">
        <v>-10.8</v>
      </c>
      <c r="R1028" s="246">
        <v>1.5</v>
      </c>
      <c r="S1028" s="233">
        <v>75</v>
      </c>
      <c r="T1028" s="247" t="s">
        <v>2044</v>
      </c>
      <c r="U1028" s="245">
        <v>-42</v>
      </c>
      <c r="V1028" s="245">
        <v>-39</v>
      </c>
      <c r="W1028" s="245">
        <v>-38</v>
      </c>
      <c r="X1028" s="245">
        <v>-34</v>
      </c>
      <c r="Y1028" s="245">
        <v>-18</v>
      </c>
      <c r="Z1028" s="245">
        <v>-48</v>
      </c>
      <c r="AA1028" s="245">
        <v>8</v>
      </c>
      <c r="AB1028" s="245">
        <v>166</v>
      </c>
      <c r="AC1028" s="245">
        <v>-8.6</v>
      </c>
      <c r="AD1028" s="245">
        <v>236</v>
      </c>
      <c r="AE1028" s="245">
        <v>-4.9000000000000004</v>
      </c>
      <c r="AF1028" s="245">
        <v>256</v>
      </c>
      <c r="AG1028" s="245">
        <v>-3.8</v>
      </c>
      <c r="AH1028" s="245">
        <v>84</v>
      </c>
      <c r="AI1028" s="245">
        <v>84</v>
      </c>
      <c r="AJ1028" s="245">
        <v>177</v>
      </c>
      <c r="AK1028" s="245" t="s">
        <v>963</v>
      </c>
      <c r="AL1028" s="245" t="s">
        <v>931</v>
      </c>
      <c r="AM1028" s="246">
        <v>3</v>
      </c>
      <c r="AN1028" s="235">
        <v>75</v>
      </c>
      <c r="AO1028" s="247" t="s">
        <v>2045</v>
      </c>
      <c r="AP1028" s="247">
        <v>995</v>
      </c>
      <c r="AQ1028" s="247">
        <v>20.3</v>
      </c>
      <c r="AR1028" s="247">
        <v>24.6</v>
      </c>
      <c r="AS1028" s="247">
        <v>22.7</v>
      </c>
      <c r="AT1028" s="247">
        <v>37</v>
      </c>
      <c r="AU1028" s="247">
        <v>11.8</v>
      </c>
      <c r="AV1028" s="247">
        <v>75</v>
      </c>
      <c r="AW1028" s="247">
        <v>58</v>
      </c>
      <c r="AX1028" s="247">
        <v>425</v>
      </c>
      <c r="AY1028" s="247">
        <v>58</v>
      </c>
      <c r="AZ1028" s="247" t="s">
        <v>1005</v>
      </c>
      <c r="BA1028" s="248" t="s">
        <v>934</v>
      </c>
      <c r="BB1028" s="235">
        <v>60</v>
      </c>
      <c r="BC1028" s="247" t="s">
        <v>2043</v>
      </c>
      <c r="BD1028" s="247">
        <v>2.2000000000000002</v>
      </c>
      <c r="BE1028" s="247">
        <v>2.2999999999999998</v>
      </c>
      <c r="BF1028" s="247">
        <v>3.3</v>
      </c>
      <c r="BG1028" s="247">
        <v>5.3</v>
      </c>
      <c r="BH1028" s="247">
        <v>7.7</v>
      </c>
      <c r="BI1028" s="247">
        <v>11.5</v>
      </c>
      <c r="BJ1028" s="247">
        <v>14.2</v>
      </c>
      <c r="BK1028" s="247">
        <v>13.1</v>
      </c>
      <c r="BL1028" s="247">
        <v>9.5</v>
      </c>
      <c r="BM1028" s="247">
        <v>6.1</v>
      </c>
      <c r="BN1028" s="247">
        <v>4.2</v>
      </c>
      <c r="BO1028" s="247">
        <v>2.9</v>
      </c>
      <c r="BP1028" s="248">
        <v>6.9</v>
      </c>
    </row>
    <row r="1029" spans="1:68" ht="14.25" customHeight="1">
      <c r="A1029" s="233">
        <v>372</v>
      </c>
      <c r="B1029" s="234">
        <v>70</v>
      </c>
      <c r="C1029" s="244" t="s">
        <v>928</v>
      </c>
      <c r="D1029" s="244" t="s">
        <v>1316</v>
      </c>
      <c r="E1029" s="244" t="s">
        <v>2046</v>
      </c>
      <c r="F1029" s="245">
        <v>-10</v>
      </c>
      <c r="G1029" s="245">
        <v>-9.1</v>
      </c>
      <c r="H1029" s="245">
        <v>-3.4</v>
      </c>
      <c r="I1029" s="245">
        <v>7.8</v>
      </c>
      <c r="J1029" s="245">
        <v>15.4</v>
      </c>
      <c r="K1029" s="245">
        <v>19.600000000000001</v>
      </c>
      <c r="L1029" s="245">
        <v>21.4</v>
      </c>
      <c r="M1029" s="245">
        <v>20.2</v>
      </c>
      <c r="N1029" s="245">
        <v>14</v>
      </c>
      <c r="O1029" s="245">
        <v>5.9</v>
      </c>
      <c r="P1029" s="245">
        <v>-0.5</v>
      </c>
      <c r="Q1029" s="245">
        <v>-5.8</v>
      </c>
      <c r="R1029" s="246">
        <v>6.3</v>
      </c>
      <c r="S1029" s="233">
        <v>70</v>
      </c>
      <c r="T1029" s="247" t="s">
        <v>2047</v>
      </c>
      <c r="U1029" s="245">
        <v>-32</v>
      </c>
      <c r="V1029" s="245">
        <v>-30</v>
      </c>
      <c r="W1029" s="245">
        <v>-29</v>
      </c>
      <c r="X1029" s="245">
        <v>-26</v>
      </c>
      <c r="Y1029" s="245" t="s">
        <v>956</v>
      </c>
      <c r="Z1029" s="245">
        <v>-38</v>
      </c>
      <c r="AA1029" s="245">
        <v>7.2</v>
      </c>
      <c r="AB1029" s="245">
        <v>139</v>
      </c>
      <c r="AC1029" s="245">
        <v>-5.7</v>
      </c>
      <c r="AD1029" s="245">
        <v>191</v>
      </c>
      <c r="AE1029" s="245">
        <v>-3.4</v>
      </c>
      <c r="AF1029" s="245">
        <v>204</v>
      </c>
      <c r="AG1029" s="245">
        <v>-2.6</v>
      </c>
      <c r="AH1029" s="245">
        <v>82</v>
      </c>
      <c r="AI1029" s="245">
        <v>80</v>
      </c>
      <c r="AJ1029" s="245">
        <v>177</v>
      </c>
      <c r="AK1029" s="245" t="s">
        <v>990</v>
      </c>
      <c r="AL1029" s="245" t="s">
        <v>931</v>
      </c>
      <c r="AM1029" s="246">
        <v>3.8</v>
      </c>
      <c r="AN1029" s="235">
        <v>70</v>
      </c>
      <c r="AO1029" s="247" t="s">
        <v>2048</v>
      </c>
      <c r="AP1029" s="247">
        <v>1000</v>
      </c>
      <c r="AQ1029" s="247">
        <v>28</v>
      </c>
      <c r="AR1029" s="247">
        <v>32</v>
      </c>
      <c r="AS1029" s="247">
        <v>28.2</v>
      </c>
      <c r="AT1029" s="247">
        <v>42</v>
      </c>
      <c r="AU1029" s="247">
        <v>13.1</v>
      </c>
      <c r="AV1029" s="247">
        <v>62</v>
      </c>
      <c r="AW1029" s="247">
        <v>39</v>
      </c>
      <c r="AX1029" s="247">
        <v>301</v>
      </c>
      <c r="AY1029" s="247">
        <v>92</v>
      </c>
      <c r="AZ1029" s="247" t="s">
        <v>1005</v>
      </c>
      <c r="BA1029" s="248" t="s">
        <v>934</v>
      </c>
      <c r="BB1029" s="235">
        <v>55</v>
      </c>
      <c r="BC1029" s="247" t="s">
        <v>2046</v>
      </c>
      <c r="BD1029" s="247">
        <v>2.9</v>
      </c>
      <c r="BE1029" s="247">
        <v>3</v>
      </c>
      <c r="BF1029" s="247">
        <v>4.3</v>
      </c>
      <c r="BG1029" s="247">
        <v>7.1</v>
      </c>
      <c r="BH1029" s="247">
        <v>10</v>
      </c>
      <c r="BI1029" s="247">
        <v>13.2</v>
      </c>
      <c r="BJ1029" s="247">
        <v>15.1</v>
      </c>
      <c r="BK1029" s="247">
        <v>13.7</v>
      </c>
      <c r="BL1029" s="247">
        <v>10.1</v>
      </c>
      <c r="BM1029" s="247">
        <v>7.3</v>
      </c>
      <c r="BN1029" s="247">
        <v>5.3</v>
      </c>
      <c r="BO1029" s="247">
        <v>3.9</v>
      </c>
      <c r="BP1029" s="248">
        <v>8</v>
      </c>
    </row>
    <row r="1030" spans="1:68" ht="14.25" customHeight="1">
      <c r="A1030" s="233">
        <v>373</v>
      </c>
      <c r="B1030" s="234">
        <v>238</v>
      </c>
      <c r="C1030" s="244" t="s">
        <v>928</v>
      </c>
      <c r="D1030" s="244" t="s">
        <v>1119</v>
      </c>
      <c r="E1030" s="244" t="s">
        <v>202</v>
      </c>
      <c r="F1030" s="245">
        <v>-18.8</v>
      </c>
      <c r="G1030" s="245">
        <v>-17.3</v>
      </c>
      <c r="H1030" s="245">
        <v>-10.1</v>
      </c>
      <c r="I1030" s="245">
        <v>1.5</v>
      </c>
      <c r="J1030" s="245">
        <v>10.3</v>
      </c>
      <c r="K1030" s="245">
        <v>16.7</v>
      </c>
      <c r="L1030" s="245">
        <v>19</v>
      </c>
      <c r="M1030" s="245">
        <v>15.8</v>
      </c>
      <c r="N1030" s="245">
        <v>10.1</v>
      </c>
      <c r="O1030" s="245">
        <v>1.9</v>
      </c>
      <c r="P1030" s="245">
        <v>-9.1999999999999993</v>
      </c>
      <c r="Q1030" s="245">
        <v>-16.5</v>
      </c>
      <c r="R1030" s="246">
        <v>0.2</v>
      </c>
      <c r="S1030" s="233">
        <v>238</v>
      </c>
      <c r="T1030" s="247" t="s">
        <v>2049</v>
      </c>
      <c r="U1030" s="245">
        <v>-44</v>
      </c>
      <c r="V1030" s="245">
        <v>-42</v>
      </c>
      <c r="W1030" s="245">
        <v>-42</v>
      </c>
      <c r="X1030" s="245">
        <v>-39</v>
      </c>
      <c r="Y1030" s="245">
        <v>-24</v>
      </c>
      <c r="Z1030" s="245">
        <v>-50</v>
      </c>
      <c r="AA1030" s="245">
        <v>9.3000000000000007</v>
      </c>
      <c r="AB1030" s="245">
        <v>178</v>
      </c>
      <c r="AC1030" s="245">
        <v>-12.4</v>
      </c>
      <c r="AD1030" s="245">
        <v>230</v>
      </c>
      <c r="AE1030" s="245">
        <v>-8.6999999999999993</v>
      </c>
      <c r="AF1030" s="245">
        <v>243</v>
      </c>
      <c r="AG1030" s="245">
        <v>-7.7</v>
      </c>
      <c r="AH1030" s="245">
        <v>80</v>
      </c>
      <c r="AI1030" s="245">
        <v>77</v>
      </c>
      <c r="AJ1030" s="245">
        <v>104</v>
      </c>
      <c r="AK1030" s="245" t="s">
        <v>971</v>
      </c>
      <c r="AL1030" s="245">
        <v>5.7</v>
      </c>
      <c r="AM1030" s="246">
        <v>3.9</v>
      </c>
      <c r="AN1030" s="235">
        <v>238</v>
      </c>
      <c r="AO1030" s="247" t="s">
        <v>2050</v>
      </c>
      <c r="AP1030" s="247">
        <v>995</v>
      </c>
      <c r="AQ1030" s="247">
        <v>22</v>
      </c>
      <c r="AR1030" s="247">
        <v>26.4</v>
      </c>
      <c r="AS1030" s="247">
        <v>24.6</v>
      </c>
      <c r="AT1030" s="247">
        <v>38</v>
      </c>
      <c r="AU1030" s="247">
        <v>11.4</v>
      </c>
      <c r="AV1030" s="247">
        <v>72</v>
      </c>
      <c r="AW1030" s="247">
        <v>56</v>
      </c>
      <c r="AX1030" s="247">
        <v>338</v>
      </c>
      <c r="AY1030" s="247">
        <v>95</v>
      </c>
      <c r="AZ1030" s="247" t="s">
        <v>978</v>
      </c>
      <c r="BA1030" s="248">
        <v>0</v>
      </c>
      <c r="BB1030" s="235">
        <v>210</v>
      </c>
      <c r="BC1030" s="247" t="s">
        <v>202</v>
      </c>
      <c r="BD1030" s="247">
        <v>1.4</v>
      </c>
      <c r="BE1030" s="247">
        <v>1.5</v>
      </c>
      <c r="BF1030" s="247">
        <v>2.6</v>
      </c>
      <c r="BG1030" s="247">
        <v>5</v>
      </c>
      <c r="BH1030" s="247">
        <v>7.3</v>
      </c>
      <c r="BI1030" s="247">
        <v>12.3</v>
      </c>
      <c r="BJ1030" s="247">
        <v>15.6</v>
      </c>
      <c r="BK1030" s="247">
        <v>13.4</v>
      </c>
      <c r="BL1030" s="247">
        <v>9.1999999999999993</v>
      </c>
      <c r="BM1030" s="247">
        <v>5.5</v>
      </c>
      <c r="BN1030" s="247">
        <v>3</v>
      </c>
      <c r="BO1030" s="247">
        <v>1.8</v>
      </c>
      <c r="BP1030" s="248">
        <v>6.6</v>
      </c>
    </row>
    <row r="1031" spans="1:68" ht="14.25" customHeight="1">
      <c r="A1031" s="233">
        <v>374</v>
      </c>
      <c r="B1031" s="234">
        <v>294</v>
      </c>
      <c r="C1031" s="244" t="s">
        <v>928</v>
      </c>
      <c r="D1031" s="244" t="s">
        <v>992</v>
      </c>
      <c r="E1031" s="244" t="s">
        <v>2051</v>
      </c>
      <c r="F1031" s="245">
        <v>-19.7</v>
      </c>
      <c r="G1031" s="245">
        <v>-17</v>
      </c>
      <c r="H1031" s="245">
        <v>-10.9</v>
      </c>
      <c r="I1031" s="245">
        <v>-2.4</v>
      </c>
      <c r="J1031" s="245">
        <v>3</v>
      </c>
      <c r="K1031" s="245">
        <v>8.5</v>
      </c>
      <c r="L1031" s="245">
        <v>13.2</v>
      </c>
      <c r="M1031" s="245">
        <v>14.2</v>
      </c>
      <c r="N1031" s="245">
        <v>10.5</v>
      </c>
      <c r="O1031" s="245">
        <v>2.9</v>
      </c>
      <c r="P1031" s="245">
        <v>-7.6</v>
      </c>
      <c r="Q1031" s="245">
        <v>-16.3</v>
      </c>
      <c r="R1031" s="246">
        <v>-1.8</v>
      </c>
      <c r="S1031" s="233">
        <v>294</v>
      </c>
      <c r="T1031" s="247" t="s">
        <v>2052</v>
      </c>
      <c r="U1031" s="245">
        <v>-36</v>
      </c>
      <c r="V1031" s="245">
        <v>-35</v>
      </c>
      <c r="W1031" s="245">
        <v>-33</v>
      </c>
      <c r="X1031" s="245">
        <v>-32</v>
      </c>
      <c r="Y1031" s="245">
        <v>-25</v>
      </c>
      <c r="Z1031" s="245">
        <v>-48</v>
      </c>
      <c r="AA1031" s="245">
        <v>10.3</v>
      </c>
      <c r="AB1031" s="245">
        <v>187</v>
      </c>
      <c r="AC1031" s="245">
        <v>-11.7</v>
      </c>
      <c r="AD1031" s="245">
        <v>260</v>
      </c>
      <c r="AE1031" s="245">
        <v>-7.2</v>
      </c>
      <c r="AF1031" s="245">
        <v>281</v>
      </c>
      <c r="AG1031" s="245">
        <v>-6</v>
      </c>
      <c r="AH1031" s="245">
        <v>76</v>
      </c>
      <c r="AI1031" s="245">
        <v>69</v>
      </c>
      <c r="AJ1031" s="245">
        <v>149</v>
      </c>
      <c r="AK1031" s="245" t="s">
        <v>971</v>
      </c>
      <c r="AL1031" s="245" t="s">
        <v>931</v>
      </c>
      <c r="AM1031" s="246">
        <v>4.2</v>
      </c>
      <c r="AN1031" s="235">
        <v>288</v>
      </c>
      <c r="AO1031" s="247" t="s">
        <v>2053</v>
      </c>
      <c r="AP1031" s="247">
        <v>1010</v>
      </c>
      <c r="AQ1031" s="247">
        <v>17</v>
      </c>
      <c r="AR1031" s="247">
        <v>21.4</v>
      </c>
      <c r="AS1031" s="247">
        <v>19.399999999999999</v>
      </c>
      <c r="AT1031" s="247">
        <v>37</v>
      </c>
      <c r="AU1031" s="247">
        <v>9.1999999999999993</v>
      </c>
      <c r="AV1031" s="247">
        <v>85</v>
      </c>
      <c r="AW1031" s="247">
        <v>72</v>
      </c>
      <c r="AX1031" s="247">
        <v>481</v>
      </c>
      <c r="AY1031" s="247">
        <v>87</v>
      </c>
      <c r="AZ1031" s="247" t="s">
        <v>946</v>
      </c>
      <c r="BA1031" s="248" t="s">
        <v>934</v>
      </c>
      <c r="BB1031" s="235">
        <v>259</v>
      </c>
      <c r="BC1031" s="247" t="s">
        <v>2051</v>
      </c>
      <c r="BD1031" s="247">
        <v>1.2</v>
      </c>
      <c r="BE1031" s="247">
        <v>1.4</v>
      </c>
      <c r="BF1031" s="247">
        <v>2.2000000000000002</v>
      </c>
      <c r="BG1031" s="247">
        <v>4</v>
      </c>
      <c r="BH1031" s="247">
        <v>6.1</v>
      </c>
      <c r="BI1031" s="247">
        <v>9</v>
      </c>
      <c r="BJ1031" s="247">
        <v>12.6</v>
      </c>
      <c r="BK1031" s="247">
        <v>13.7</v>
      </c>
      <c r="BL1031" s="247">
        <v>10.5</v>
      </c>
      <c r="BM1031" s="247">
        <v>5.9</v>
      </c>
      <c r="BN1031" s="247">
        <v>2.9</v>
      </c>
      <c r="BO1031" s="247">
        <v>1.6</v>
      </c>
      <c r="BP1031" s="248">
        <v>5.9</v>
      </c>
    </row>
    <row r="1032" spans="1:68" ht="14.25" customHeight="1">
      <c r="A1032" s="233">
        <v>375</v>
      </c>
      <c r="B1032" s="234">
        <v>252</v>
      </c>
      <c r="C1032" s="244" t="s">
        <v>928</v>
      </c>
      <c r="D1032" s="244" t="s">
        <v>1176</v>
      </c>
      <c r="E1032" s="244" t="s">
        <v>2054</v>
      </c>
      <c r="F1032" s="245">
        <v>-14.6</v>
      </c>
      <c r="G1032" s="245">
        <v>-13.7</v>
      </c>
      <c r="H1032" s="245">
        <v>-6.8</v>
      </c>
      <c r="I1032" s="245">
        <v>2.9</v>
      </c>
      <c r="J1032" s="245">
        <v>11</v>
      </c>
      <c r="K1032" s="245">
        <v>16.7</v>
      </c>
      <c r="L1032" s="245">
        <v>18.399999999999999</v>
      </c>
      <c r="M1032" s="245">
        <v>16.399999999999999</v>
      </c>
      <c r="N1032" s="245">
        <v>10.1</v>
      </c>
      <c r="O1032" s="245">
        <v>2.2999999999999998</v>
      </c>
      <c r="P1032" s="245">
        <v>-5.0999999999999996</v>
      </c>
      <c r="Q1032" s="245">
        <v>-12.1</v>
      </c>
      <c r="R1032" s="246">
        <v>2.1</v>
      </c>
      <c r="S1032" s="233">
        <v>252</v>
      </c>
      <c r="T1032" s="247" t="s">
        <v>2055</v>
      </c>
      <c r="U1032" s="245">
        <v>-44</v>
      </c>
      <c r="V1032" s="245">
        <v>-42</v>
      </c>
      <c r="W1032" s="245">
        <v>-40</v>
      </c>
      <c r="X1032" s="245">
        <v>-36</v>
      </c>
      <c r="Y1032" s="245">
        <v>-21</v>
      </c>
      <c r="Z1032" s="245">
        <v>-50</v>
      </c>
      <c r="AA1032" s="245">
        <v>7.1</v>
      </c>
      <c r="AB1032" s="245">
        <v>164</v>
      </c>
      <c r="AC1032" s="245">
        <v>-9.6</v>
      </c>
      <c r="AD1032" s="245">
        <v>221</v>
      </c>
      <c r="AE1032" s="245">
        <v>-6.1</v>
      </c>
      <c r="AF1032" s="245">
        <v>237</v>
      </c>
      <c r="AG1032" s="245">
        <v>-5.0999999999999996</v>
      </c>
      <c r="AH1032" s="245">
        <v>80</v>
      </c>
      <c r="AI1032" s="245">
        <v>77</v>
      </c>
      <c r="AJ1032" s="245">
        <v>183</v>
      </c>
      <c r="AK1032" s="245" t="s">
        <v>971</v>
      </c>
      <c r="AL1032" s="245" t="s">
        <v>931</v>
      </c>
      <c r="AM1032" s="246">
        <v>2.9</v>
      </c>
      <c r="AN1032" s="235">
        <v>252</v>
      </c>
      <c r="AO1032" s="247" t="s">
        <v>2056</v>
      </c>
      <c r="AP1032" s="247">
        <v>1000</v>
      </c>
      <c r="AQ1032" s="247">
        <v>22</v>
      </c>
      <c r="AR1032" s="247">
        <v>27</v>
      </c>
      <c r="AS1032" s="247">
        <v>24.2</v>
      </c>
      <c r="AT1032" s="247">
        <v>36</v>
      </c>
      <c r="AU1032" s="247">
        <v>11.3</v>
      </c>
      <c r="AV1032" s="247">
        <v>69</v>
      </c>
      <c r="AW1032" s="247">
        <v>53</v>
      </c>
      <c r="AX1032" s="247">
        <v>381</v>
      </c>
      <c r="AY1032" s="247">
        <v>70</v>
      </c>
      <c r="AZ1032" s="247" t="s">
        <v>959</v>
      </c>
      <c r="BA1032" s="248" t="s">
        <v>2057</v>
      </c>
      <c r="BB1032" s="235">
        <v>223</v>
      </c>
      <c r="BC1032" s="247" t="s">
        <v>2054</v>
      </c>
      <c r="BD1032" s="247">
        <v>1.9</v>
      </c>
      <c r="BE1032" s="247">
        <v>1.9</v>
      </c>
      <c r="BF1032" s="247">
        <v>3.1</v>
      </c>
      <c r="BG1032" s="247">
        <v>5.5</v>
      </c>
      <c r="BH1032" s="247">
        <v>8.1999999999999993</v>
      </c>
      <c r="BI1032" s="247">
        <v>11.8</v>
      </c>
      <c r="BJ1032" s="247">
        <v>14.6</v>
      </c>
      <c r="BK1032" s="247">
        <v>13</v>
      </c>
      <c r="BL1032" s="247">
        <v>9.6</v>
      </c>
      <c r="BM1032" s="247">
        <v>6</v>
      </c>
      <c r="BN1032" s="247">
        <v>3.8</v>
      </c>
      <c r="BO1032" s="247">
        <v>2.5</v>
      </c>
      <c r="BP1032" s="248">
        <v>6.8</v>
      </c>
    </row>
    <row r="1033" spans="1:68" ht="14.25" customHeight="1">
      <c r="A1033" s="233">
        <v>376</v>
      </c>
      <c r="B1033" s="234">
        <v>25</v>
      </c>
      <c r="C1033" s="244" t="s">
        <v>928</v>
      </c>
      <c r="D1033" s="244" t="s">
        <v>1046</v>
      </c>
      <c r="E1033" s="244" t="s">
        <v>2058</v>
      </c>
      <c r="F1033" s="245">
        <v>-31.8</v>
      </c>
      <c r="G1033" s="245">
        <v>-25.1</v>
      </c>
      <c r="H1033" s="245">
        <v>-13.3</v>
      </c>
      <c r="I1033" s="245">
        <v>0.2</v>
      </c>
      <c r="J1033" s="245">
        <v>9.4</v>
      </c>
      <c r="K1033" s="245">
        <v>16</v>
      </c>
      <c r="L1033" s="245">
        <v>19.3</v>
      </c>
      <c r="M1033" s="245">
        <v>17</v>
      </c>
      <c r="N1033" s="245">
        <v>9.9</v>
      </c>
      <c r="O1033" s="245">
        <v>-0.3</v>
      </c>
      <c r="P1033" s="245">
        <v>-16.8</v>
      </c>
      <c r="Q1033" s="245">
        <v>-29</v>
      </c>
      <c r="R1033" s="246">
        <v>-3.7</v>
      </c>
      <c r="S1033" s="233">
        <v>25</v>
      </c>
      <c r="T1033" s="247" t="s">
        <v>2059</v>
      </c>
      <c r="U1033" s="245">
        <v>-46</v>
      </c>
      <c r="V1033" s="245">
        <v>-44</v>
      </c>
      <c r="W1033" s="245">
        <v>-44</v>
      </c>
      <c r="X1033" s="245">
        <v>-43</v>
      </c>
      <c r="Y1033" s="245">
        <v>-37</v>
      </c>
      <c r="Z1033" s="245">
        <v>-55</v>
      </c>
      <c r="AA1033" s="245">
        <v>15</v>
      </c>
      <c r="AB1033" s="245">
        <v>183</v>
      </c>
      <c r="AC1033" s="245">
        <v>-19.2</v>
      </c>
      <c r="AD1033" s="245">
        <v>232</v>
      </c>
      <c r="AE1033" s="245">
        <v>-14.3</v>
      </c>
      <c r="AF1033" s="245">
        <v>246</v>
      </c>
      <c r="AG1033" s="245">
        <v>-13</v>
      </c>
      <c r="AH1033" s="245">
        <v>74</v>
      </c>
      <c r="AI1033" s="245">
        <v>68</v>
      </c>
      <c r="AJ1033" s="245">
        <v>58</v>
      </c>
      <c r="AK1033" s="245" t="s">
        <v>938</v>
      </c>
      <c r="AL1033" s="245">
        <v>2.1</v>
      </c>
      <c r="AM1033" s="246">
        <v>1.6</v>
      </c>
      <c r="AN1033" s="235">
        <v>25</v>
      </c>
      <c r="AO1033" s="247" t="s">
        <v>2060</v>
      </c>
      <c r="AP1033" s="247">
        <v>980</v>
      </c>
      <c r="AQ1033" s="247">
        <v>23.5</v>
      </c>
      <c r="AR1033" s="247">
        <v>27.6</v>
      </c>
      <c r="AS1033" s="247">
        <v>25.9</v>
      </c>
      <c r="AT1033" s="247">
        <v>35</v>
      </c>
      <c r="AU1033" s="247">
        <v>12.5</v>
      </c>
      <c r="AV1033" s="247">
        <v>79</v>
      </c>
      <c r="AW1033" s="247">
        <v>63</v>
      </c>
      <c r="AX1033" s="247">
        <v>548</v>
      </c>
      <c r="AY1033" s="247">
        <v>135</v>
      </c>
      <c r="AZ1033" s="247" t="s">
        <v>940</v>
      </c>
      <c r="BA1033" s="248">
        <v>0</v>
      </c>
      <c r="BB1033" s="235">
        <v>17</v>
      </c>
      <c r="BC1033" s="247" t="s">
        <v>2058</v>
      </c>
      <c r="BD1033" s="247">
        <v>0.4</v>
      </c>
      <c r="BE1033" s="247">
        <v>0.7</v>
      </c>
      <c r="BF1033" s="247">
        <v>1.6</v>
      </c>
      <c r="BG1033" s="247">
        <v>3.8</v>
      </c>
      <c r="BH1033" s="247">
        <v>6.9</v>
      </c>
      <c r="BI1033" s="247">
        <v>13.3</v>
      </c>
      <c r="BJ1033" s="247">
        <v>18</v>
      </c>
      <c r="BK1033" s="247">
        <v>16</v>
      </c>
      <c r="BL1033" s="247">
        <v>9.5</v>
      </c>
      <c r="BM1033" s="247">
        <v>4.2</v>
      </c>
      <c r="BN1033" s="247">
        <v>1.5</v>
      </c>
      <c r="BO1033" s="247">
        <v>0.6</v>
      </c>
      <c r="BP1033" s="248">
        <v>6.4</v>
      </c>
    </row>
    <row r="1034" spans="1:68" ht="14.25" customHeight="1">
      <c r="A1034" s="233">
        <v>377</v>
      </c>
      <c r="B1034" s="234">
        <v>588</v>
      </c>
      <c r="C1034" s="244" t="s">
        <v>1015</v>
      </c>
      <c r="D1034" s="244" t="s">
        <v>1642</v>
      </c>
      <c r="E1034" s="244" t="s">
        <v>2061</v>
      </c>
      <c r="F1034" s="245">
        <v>-4.9000000000000004</v>
      </c>
      <c r="G1034" s="245">
        <v>-3.3</v>
      </c>
      <c r="H1034" s="245">
        <v>3.8</v>
      </c>
      <c r="I1034" s="245">
        <v>13.4</v>
      </c>
      <c r="J1034" s="245">
        <v>21.1</v>
      </c>
      <c r="K1034" s="245">
        <v>25.9</v>
      </c>
      <c r="L1034" s="245">
        <v>28</v>
      </c>
      <c r="M1034" s="245">
        <v>25.4</v>
      </c>
      <c r="N1034" s="245">
        <v>19.100000000000001</v>
      </c>
      <c r="O1034" s="245">
        <v>10.7</v>
      </c>
      <c r="P1034" s="245">
        <v>2.9</v>
      </c>
      <c r="Q1034" s="245">
        <v>-2.9</v>
      </c>
      <c r="R1034" s="246">
        <v>11.6</v>
      </c>
      <c r="S1034" s="233">
        <v>577</v>
      </c>
      <c r="T1034" s="247" t="s">
        <v>2061</v>
      </c>
      <c r="U1034" s="245">
        <v>-27</v>
      </c>
      <c r="V1034" s="245">
        <v>-24</v>
      </c>
      <c r="W1034" s="245">
        <v>-23</v>
      </c>
      <c r="X1034" s="245" t="s">
        <v>965</v>
      </c>
      <c r="Y1034" s="245">
        <v>-9</v>
      </c>
      <c r="Z1034" s="245">
        <v>-34</v>
      </c>
      <c r="AA1034" s="245">
        <v>8.8000000000000007</v>
      </c>
      <c r="AB1034" s="245">
        <v>90</v>
      </c>
      <c r="AC1034" s="245" t="s">
        <v>958</v>
      </c>
      <c r="AD1034" s="245">
        <v>143</v>
      </c>
      <c r="AE1034" s="245">
        <v>-0.6</v>
      </c>
      <c r="AF1034" s="245" t="s">
        <v>933</v>
      </c>
      <c r="AG1034" s="245" t="s">
        <v>931</v>
      </c>
      <c r="AH1034" s="245" t="s">
        <v>956</v>
      </c>
      <c r="AI1034" s="245" t="s">
        <v>956</v>
      </c>
      <c r="AJ1034" s="245" t="s">
        <v>1018</v>
      </c>
      <c r="AK1034" s="245" t="s">
        <v>931</v>
      </c>
      <c r="AL1034" s="245">
        <v>4.2</v>
      </c>
      <c r="AM1034" s="246" t="s">
        <v>931</v>
      </c>
      <c r="AN1034" s="235">
        <v>578</v>
      </c>
      <c r="AO1034" s="247" t="s">
        <v>2062</v>
      </c>
      <c r="AP1034" s="247">
        <v>1010</v>
      </c>
      <c r="AQ1034" s="247">
        <v>33.4</v>
      </c>
      <c r="AR1034" s="247">
        <v>37.299999999999997</v>
      </c>
      <c r="AS1034" s="247">
        <v>35.5</v>
      </c>
      <c r="AT1034" s="247">
        <v>45</v>
      </c>
      <c r="AU1034" s="247">
        <v>15.7</v>
      </c>
      <c r="AV1034" s="247" t="s">
        <v>958</v>
      </c>
      <c r="AW1034" s="247" t="s">
        <v>931</v>
      </c>
      <c r="AX1034" s="247" t="s">
        <v>931</v>
      </c>
      <c r="AY1034" s="247">
        <v>48</v>
      </c>
      <c r="AZ1034" s="247" t="s">
        <v>933</v>
      </c>
      <c r="BA1034" s="248">
        <v>4.4000000000000004</v>
      </c>
      <c r="BB1034" s="235"/>
      <c r="BC1034" s="247" t="s">
        <v>2061</v>
      </c>
      <c r="BD1034" s="247"/>
      <c r="BE1034" s="247"/>
      <c r="BF1034" s="247"/>
      <c r="BG1034" s="247"/>
      <c r="BH1034" s="247"/>
      <c r="BI1034" s="247"/>
      <c r="BJ1034" s="247"/>
      <c r="BK1034" s="247"/>
      <c r="BL1034" s="247"/>
      <c r="BM1034" s="247"/>
      <c r="BN1034" s="247"/>
      <c r="BO1034" s="247"/>
      <c r="BP1034" s="248"/>
    </row>
    <row r="1035" spans="1:68" ht="14.25" customHeight="1">
      <c r="A1035" s="233">
        <v>378</v>
      </c>
      <c r="B1035" s="234">
        <v>593</v>
      </c>
      <c r="C1035" s="244" t="s">
        <v>1015</v>
      </c>
      <c r="D1035" s="244" t="s">
        <v>1977</v>
      </c>
      <c r="E1035" s="244" t="s">
        <v>2063</v>
      </c>
      <c r="F1035" s="245">
        <v>-0.1</v>
      </c>
      <c r="G1035" s="245">
        <v>2.2000000000000002</v>
      </c>
      <c r="H1035" s="245">
        <v>7</v>
      </c>
      <c r="I1035" s="245">
        <v>14.3</v>
      </c>
      <c r="J1035" s="245">
        <v>20.399999999999999</v>
      </c>
      <c r="K1035" s="245">
        <v>25.8</v>
      </c>
      <c r="L1035" s="245">
        <v>28.1</v>
      </c>
      <c r="M1035" s="245">
        <v>25.8</v>
      </c>
      <c r="N1035" s="245">
        <v>19.7</v>
      </c>
      <c r="O1035" s="245">
        <v>12.4</v>
      </c>
      <c r="P1035" s="245">
        <v>6</v>
      </c>
      <c r="Q1035" s="245">
        <v>1.5</v>
      </c>
      <c r="R1035" s="246">
        <v>13.6</v>
      </c>
      <c r="S1035" s="233">
        <v>582</v>
      </c>
      <c r="T1035" s="247" t="s">
        <v>2063</v>
      </c>
      <c r="U1035" s="245">
        <v>-22</v>
      </c>
      <c r="V1035" s="245">
        <v>-19</v>
      </c>
      <c r="W1035" s="245">
        <v>-19</v>
      </c>
      <c r="X1035" s="245" t="s">
        <v>965</v>
      </c>
      <c r="Y1035" s="245">
        <v>-4</v>
      </c>
      <c r="Z1035" s="245">
        <v>-32</v>
      </c>
      <c r="AA1035" s="245">
        <v>10</v>
      </c>
      <c r="AB1035" s="245">
        <v>28</v>
      </c>
      <c r="AC1035" s="245" t="s">
        <v>958</v>
      </c>
      <c r="AD1035" s="245">
        <v>136</v>
      </c>
      <c r="AE1035" s="245">
        <v>2.8</v>
      </c>
      <c r="AF1035" s="245" t="s">
        <v>933</v>
      </c>
      <c r="AG1035" s="245" t="s">
        <v>931</v>
      </c>
      <c r="AH1035" s="245" t="s">
        <v>956</v>
      </c>
      <c r="AI1035" s="245" t="s">
        <v>956</v>
      </c>
      <c r="AJ1035" s="245" t="s">
        <v>1018</v>
      </c>
      <c r="AK1035" s="245" t="s">
        <v>931</v>
      </c>
      <c r="AL1035" s="245">
        <v>7.4</v>
      </c>
      <c r="AM1035" s="246" t="s">
        <v>931</v>
      </c>
      <c r="AN1035" s="235">
        <v>583</v>
      </c>
      <c r="AO1035" s="247" t="s">
        <v>2064</v>
      </c>
      <c r="AP1035" s="247">
        <v>950</v>
      </c>
      <c r="AQ1035" s="247">
        <v>33.799999999999997</v>
      </c>
      <c r="AR1035" s="247">
        <v>37.799999999999997</v>
      </c>
      <c r="AS1035" s="247">
        <v>35.299999999999997</v>
      </c>
      <c r="AT1035" s="247">
        <v>47</v>
      </c>
      <c r="AU1035" s="247">
        <v>16.100000000000001</v>
      </c>
      <c r="AV1035" s="247" t="s">
        <v>958</v>
      </c>
      <c r="AW1035" s="247" t="s">
        <v>931</v>
      </c>
      <c r="AX1035" s="247" t="s">
        <v>931</v>
      </c>
      <c r="AY1035" s="247">
        <v>47</v>
      </c>
      <c r="AZ1035" s="247" t="s">
        <v>933</v>
      </c>
      <c r="BA1035" s="248">
        <v>0</v>
      </c>
      <c r="BB1035" s="235"/>
      <c r="BC1035" s="247" t="s">
        <v>2063</v>
      </c>
      <c r="BD1035" s="247"/>
      <c r="BE1035" s="247"/>
      <c r="BF1035" s="247"/>
      <c r="BG1035" s="247"/>
      <c r="BH1035" s="247"/>
      <c r="BI1035" s="247"/>
      <c r="BJ1035" s="247"/>
      <c r="BK1035" s="247"/>
      <c r="BL1035" s="247"/>
      <c r="BM1035" s="247"/>
      <c r="BN1035" s="247"/>
      <c r="BO1035" s="247"/>
      <c r="BP1035" s="248"/>
    </row>
    <row r="1036" spans="1:68" ht="14.25" customHeight="1">
      <c r="A1036" s="233">
        <v>379</v>
      </c>
      <c r="B1036" s="234">
        <v>424</v>
      </c>
      <c r="C1036" s="244" t="s">
        <v>928</v>
      </c>
      <c r="D1036" s="244" t="s">
        <v>969</v>
      </c>
      <c r="E1036" s="244" t="s">
        <v>2065</v>
      </c>
      <c r="F1036" s="245">
        <v>-36</v>
      </c>
      <c r="G1036" s="245">
        <v>-31.9</v>
      </c>
      <c r="H1036" s="245">
        <v>-20.6</v>
      </c>
      <c r="I1036" s="245">
        <v>-7.2</v>
      </c>
      <c r="J1036" s="245">
        <v>5</v>
      </c>
      <c r="K1036" s="245">
        <v>14.2</v>
      </c>
      <c r="L1036" s="245">
        <v>17.3</v>
      </c>
      <c r="M1036" s="245">
        <v>13.5</v>
      </c>
      <c r="N1036" s="245">
        <v>5.2</v>
      </c>
      <c r="O1036" s="245">
        <v>-7.3</v>
      </c>
      <c r="P1036" s="245">
        <v>-26</v>
      </c>
      <c r="Q1036" s="245">
        <v>-34.200000000000003</v>
      </c>
      <c r="R1036" s="246">
        <v>-9</v>
      </c>
      <c r="S1036" s="233">
        <v>424</v>
      </c>
      <c r="T1036" s="247" t="s">
        <v>2065</v>
      </c>
      <c r="U1036" s="245">
        <v>-58</v>
      </c>
      <c r="V1036" s="245">
        <v>-56</v>
      </c>
      <c r="W1036" s="245">
        <v>-53</v>
      </c>
      <c r="X1036" s="245">
        <v>-52</v>
      </c>
      <c r="Y1036" s="245">
        <v>-41</v>
      </c>
      <c r="Z1036" s="245">
        <v>-62</v>
      </c>
      <c r="AA1036" s="245">
        <v>10.199999999999999</v>
      </c>
      <c r="AB1036" s="245">
        <v>217</v>
      </c>
      <c r="AC1036" s="245">
        <v>-22.3</v>
      </c>
      <c r="AD1036" s="245">
        <v>263</v>
      </c>
      <c r="AE1036" s="245">
        <v>-17.7</v>
      </c>
      <c r="AF1036" s="245">
        <v>277</v>
      </c>
      <c r="AG1036" s="245">
        <v>-16.3</v>
      </c>
      <c r="AH1036" s="245">
        <v>75</v>
      </c>
      <c r="AI1036" s="245">
        <v>75</v>
      </c>
      <c r="AJ1036" s="245">
        <v>61</v>
      </c>
      <c r="AK1036" s="245" t="s">
        <v>971</v>
      </c>
      <c r="AL1036" s="245">
        <v>3.3</v>
      </c>
      <c r="AM1036" s="246">
        <v>2.2000000000000002</v>
      </c>
      <c r="AN1036" s="235">
        <v>424</v>
      </c>
      <c r="AO1036" s="247" t="s">
        <v>2066</v>
      </c>
      <c r="AP1036" s="247">
        <v>995</v>
      </c>
      <c r="AQ1036" s="247">
        <v>21.7</v>
      </c>
      <c r="AR1036" s="247">
        <v>25.9</v>
      </c>
      <c r="AS1036" s="247">
        <v>24.1</v>
      </c>
      <c r="AT1036" s="247">
        <v>36</v>
      </c>
      <c r="AU1036" s="247">
        <v>14.1</v>
      </c>
      <c r="AV1036" s="247">
        <v>66</v>
      </c>
      <c r="AW1036" s="247">
        <v>49</v>
      </c>
      <c r="AX1036" s="247">
        <v>210</v>
      </c>
      <c r="AY1036" s="247">
        <v>88</v>
      </c>
      <c r="AZ1036" s="247" t="s">
        <v>940</v>
      </c>
      <c r="BA1036" s="248">
        <v>0</v>
      </c>
      <c r="BB1036" s="235">
        <v>387</v>
      </c>
      <c r="BC1036" s="247" t="s">
        <v>2065</v>
      </c>
      <c r="BD1036" s="247">
        <v>0.3</v>
      </c>
      <c r="BE1036" s="247">
        <v>0.5</v>
      </c>
      <c r="BF1036" s="247">
        <v>1.1000000000000001</v>
      </c>
      <c r="BG1036" s="247">
        <v>2.5</v>
      </c>
      <c r="BH1036" s="247">
        <v>4.8</v>
      </c>
      <c r="BI1036" s="247">
        <v>9.3000000000000007</v>
      </c>
      <c r="BJ1036" s="247">
        <v>12.5</v>
      </c>
      <c r="BK1036" s="247">
        <v>10.8</v>
      </c>
      <c r="BL1036" s="247">
        <v>6.3</v>
      </c>
      <c r="BM1036" s="247">
        <v>3.1</v>
      </c>
      <c r="BN1036" s="247">
        <v>0.9</v>
      </c>
      <c r="BO1036" s="247">
        <v>0.4</v>
      </c>
      <c r="BP1036" s="248">
        <v>4.4000000000000004</v>
      </c>
    </row>
    <row r="1037" spans="1:68" ht="14.25" customHeight="1">
      <c r="A1037" s="233">
        <v>380</v>
      </c>
      <c r="B1037" s="234">
        <v>425</v>
      </c>
      <c r="C1037" s="244" t="s">
        <v>928</v>
      </c>
      <c r="D1037" s="244" t="s">
        <v>969</v>
      </c>
      <c r="E1037" s="244" t="s">
        <v>2067</v>
      </c>
      <c r="F1037" s="245">
        <v>-30</v>
      </c>
      <c r="G1037" s="245">
        <v>-26.8</v>
      </c>
      <c r="H1037" s="245">
        <v>-15.9</v>
      </c>
      <c r="I1037" s="245">
        <v>-3.5</v>
      </c>
      <c r="J1037" s="245">
        <v>6.3</v>
      </c>
      <c r="K1037" s="245">
        <v>14.9</v>
      </c>
      <c r="L1037" s="245">
        <v>18.100000000000001</v>
      </c>
      <c r="M1037" s="245">
        <v>14.5</v>
      </c>
      <c r="N1037" s="245">
        <v>6.8</v>
      </c>
      <c r="O1037" s="245">
        <v>-3.5</v>
      </c>
      <c r="P1037" s="245">
        <v>-20.100000000000001</v>
      </c>
      <c r="Q1037" s="245">
        <v>-28.6</v>
      </c>
      <c r="R1037" s="246">
        <v>-5.7</v>
      </c>
      <c r="S1037" s="233">
        <v>425</v>
      </c>
      <c r="T1037" s="247" t="s">
        <v>2067</v>
      </c>
      <c r="U1037" s="245">
        <v>-56</v>
      </c>
      <c r="V1037" s="245">
        <v>-53</v>
      </c>
      <c r="W1037" s="245">
        <v>-52</v>
      </c>
      <c r="X1037" s="245">
        <v>-50</v>
      </c>
      <c r="Y1037" s="245">
        <v>-35</v>
      </c>
      <c r="Z1037" s="245">
        <v>-61</v>
      </c>
      <c r="AA1037" s="245">
        <v>9.3000000000000007</v>
      </c>
      <c r="AB1037" s="245">
        <v>203</v>
      </c>
      <c r="AC1037" s="245">
        <v>-18.8</v>
      </c>
      <c r="AD1037" s="245">
        <v>253</v>
      </c>
      <c r="AE1037" s="245">
        <v>-14.2</v>
      </c>
      <c r="AF1037" s="245">
        <v>268</v>
      </c>
      <c r="AG1037" s="245">
        <v>-12.9</v>
      </c>
      <c r="AH1037" s="245">
        <v>73</v>
      </c>
      <c r="AI1037" s="245">
        <v>73</v>
      </c>
      <c r="AJ1037" s="245">
        <v>61</v>
      </c>
      <c r="AK1037" s="245" t="s">
        <v>950</v>
      </c>
      <c r="AL1037" s="245">
        <v>5.3</v>
      </c>
      <c r="AM1037" s="246">
        <v>2.4</v>
      </c>
      <c r="AN1037" s="235">
        <v>425</v>
      </c>
      <c r="AO1037" s="247" t="s">
        <v>2068</v>
      </c>
      <c r="AP1037" s="247">
        <v>985</v>
      </c>
      <c r="AQ1037" s="247">
        <v>22.5</v>
      </c>
      <c r="AR1037" s="247">
        <v>26.6</v>
      </c>
      <c r="AS1037" s="247">
        <v>24.9</v>
      </c>
      <c r="AT1037" s="247">
        <v>38</v>
      </c>
      <c r="AU1037" s="247">
        <v>13.7</v>
      </c>
      <c r="AV1037" s="247">
        <v>68</v>
      </c>
      <c r="AW1037" s="247">
        <v>52</v>
      </c>
      <c r="AX1037" s="247">
        <v>273</v>
      </c>
      <c r="AY1037" s="247">
        <v>61</v>
      </c>
      <c r="AZ1037" s="247" t="s">
        <v>952</v>
      </c>
      <c r="BA1037" s="248">
        <v>0</v>
      </c>
      <c r="BB1037" s="235">
        <v>388</v>
      </c>
      <c r="BC1037" s="247" t="s">
        <v>2067</v>
      </c>
      <c r="BD1037" s="247">
        <v>0.6</v>
      </c>
      <c r="BE1037" s="247">
        <v>0.7</v>
      </c>
      <c r="BF1037" s="247">
        <v>1.4</v>
      </c>
      <c r="BG1037" s="247">
        <v>2.9</v>
      </c>
      <c r="BH1037" s="247">
        <v>5.2</v>
      </c>
      <c r="BI1037" s="247">
        <v>10.1</v>
      </c>
      <c r="BJ1037" s="247">
        <v>13.9</v>
      </c>
      <c r="BK1037" s="247">
        <v>12.2</v>
      </c>
      <c r="BL1037" s="247">
        <v>7.4</v>
      </c>
      <c r="BM1037" s="247">
        <v>3.6</v>
      </c>
      <c r="BN1037" s="247">
        <v>1.3</v>
      </c>
      <c r="BO1037" s="247">
        <v>0.7</v>
      </c>
      <c r="BP1037" s="248">
        <v>5</v>
      </c>
    </row>
    <row r="1038" spans="1:68" ht="14.25" customHeight="1">
      <c r="A1038" s="233">
        <v>381</v>
      </c>
      <c r="B1038" s="234">
        <v>373</v>
      </c>
      <c r="C1038" s="244" t="s">
        <v>928</v>
      </c>
      <c r="D1038" s="244" t="s">
        <v>1280</v>
      </c>
      <c r="E1038" s="244" t="s">
        <v>2069</v>
      </c>
      <c r="F1038" s="245">
        <v>-16.3</v>
      </c>
      <c r="G1038" s="245">
        <v>-14.8</v>
      </c>
      <c r="H1038" s="245">
        <v>-7.6</v>
      </c>
      <c r="I1038" s="245">
        <v>2.6</v>
      </c>
      <c r="J1038" s="245">
        <v>10</v>
      </c>
      <c r="K1038" s="245">
        <v>14.6</v>
      </c>
      <c r="L1038" s="245">
        <v>16.600000000000001</v>
      </c>
      <c r="M1038" s="245">
        <v>14.2</v>
      </c>
      <c r="N1038" s="245">
        <v>8.6</v>
      </c>
      <c r="O1038" s="245">
        <v>1.2</v>
      </c>
      <c r="P1038" s="245">
        <v>-7</v>
      </c>
      <c r="Q1038" s="245">
        <v>-14</v>
      </c>
      <c r="R1038" s="246">
        <v>0.7</v>
      </c>
      <c r="S1038" s="233">
        <v>373</v>
      </c>
      <c r="T1038" s="247" t="s">
        <v>2070</v>
      </c>
      <c r="U1038" s="245">
        <v>-42</v>
      </c>
      <c r="V1038" s="245">
        <v>-40</v>
      </c>
      <c r="W1038" s="245">
        <v>-38</v>
      </c>
      <c r="X1038" s="245">
        <v>-35</v>
      </c>
      <c r="Y1038" s="245">
        <v>-22</v>
      </c>
      <c r="Z1038" s="245">
        <v>-52</v>
      </c>
      <c r="AA1038" s="245">
        <v>9.1999999999999993</v>
      </c>
      <c r="AB1038" s="245">
        <v>172</v>
      </c>
      <c r="AC1038" s="245">
        <v>-10.6</v>
      </c>
      <c r="AD1038" s="245">
        <v>229</v>
      </c>
      <c r="AE1038" s="245">
        <v>-6.8</v>
      </c>
      <c r="AF1038" s="245">
        <v>248</v>
      </c>
      <c r="AG1038" s="245">
        <v>-56</v>
      </c>
      <c r="AH1038" s="245">
        <v>81</v>
      </c>
      <c r="AI1038" s="245">
        <v>78</v>
      </c>
      <c r="AJ1038" s="245">
        <v>149</v>
      </c>
      <c r="AK1038" s="245" t="s">
        <v>971</v>
      </c>
      <c r="AL1038" s="245" t="s">
        <v>931</v>
      </c>
      <c r="AM1038" s="246">
        <v>2.7</v>
      </c>
      <c r="AN1038" s="235">
        <v>373</v>
      </c>
      <c r="AO1038" s="247" t="s">
        <v>2071</v>
      </c>
      <c r="AP1038" s="247">
        <v>975</v>
      </c>
      <c r="AQ1038" s="247">
        <v>21</v>
      </c>
      <c r="AR1038" s="247">
        <v>26</v>
      </c>
      <c r="AS1038" s="247">
        <v>22.9</v>
      </c>
      <c r="AT1038" s="247">
        <v>36</v>
      </c>
      <c r="AU1038" s="247">
        <v>12.3</v>
      </c>
      <c r="AV1038" s="247">
        <v>74</v>
      </c>
      <c r="AW1038" s="247">
        <v>52</v>
      </c>
      <c r="AX1038" s="247">
        <v>415</v>
      </c>
      <c r="AY1038" s="247">
        <v>137</v>
      </c>
      <c r="AZ1038" s="247" t="s">
        <v>952</v>
      </c>
      <c r="BA1038" s="248" t="s">
        <v>934</v>
      </c>
      <c r="BB1038" s="235">
        <v>338</v>
      </c>
      <c r="BC1038" s="247" t="s">
        <v>2069</v>
      </c>
      <c r="BD1038" s="247">
        <v>1.7</v>
      </c>
      <c r="BE1038" s="247">
        <v>1.9</v>
      </c>
      <c r="BF1038" s="247">
        <v>3</v>
      </c>
      <c r="BG1038" s="247">
        <v>5.2</v>
      </c>
      <c r="BH1038" s="247">
        <v>7.5</v>
      </c>
      <c r="BI1038" s="247">
        <v>11.4</v>
      </c>
      <c r="BJ1038" s="247">
        <v>14</v>
      </c>
      <c r="BK1038" s="247">
        <v>12.4</v>
      </c>
      <c r="BL1038" s="247">
        <v>8.9</v>
      </c>
      <c r="BM1038" s="247">
        <v>5.4</v>
      </c>
      <c r="BN1038" s="247">
        <v>3.4</v>
      </c>
      <c r="BO1038" s="247">
        <v>2.2000000000000002</v>
      </c>
      <c r="BP1038" s="248">
        <v>6.4</v>
      </c>
    </row>
    <row r="1039" spans="1:68" ht="14.25" customHeight="1">
      <c r="A1039" s="233">
        <v>382</v>
      </c>
      <c r="B1039" s="234">
        <v>120</v>
      </c>
      <c r="C1039" s="244" t="s">
        <v>928</v>
      </c>
      <c r="D1039" s="244" t="s">
        <v>1023</v>
      </c>
      <c r="E1039" s="244" t="s">
        <v>2072</v>
      </c>
      <c r="F1039" s="245">
        <v>-3.5</v>
      </c>
      <c r="G1039" s="245">
        <v>-3.8</v>
      </c>
      <c r="H1039" s="245">
        <v>-3</v>
      </c>
      <c r="I1039" s="245">
        <v>-0.8</v>
      </c>
      <c r="J1039" s="245">
        <v>2</v>
      </c>
      <c r="K1039" s="245">
        <v>5.2</v>
      </c>
      <c r="L1039" s="245">
        <v>8.6</v>
      </c>
      <c r="M1039" s="245">
        <v>10.5</v>
      </c>
      <c r="N1039" s="245">
        <v>8.9</v>
      </c>
      <c r="O1039" s="245">
        <v>4.5</v>
      </c>
      <c r="P1039" s="245">
        <v>0.1</v>
      </c>
      <c r="Q1039" s="245">
        <v>-2.5</v>
      </c>
      <c r="R1039" s="246">
        <v>2.2000000000000002</v>
      </c>
      <c r="S1039" s="233">
        <v>120</v>
      </c>
      <c r="T1039" s="247" t="s">
        <v>2073</v>
      </c>
      <c r="U1039" s="245">
        <v>-15</v>
      </c>
      <c r="V1039" s="245">
        <v>-14</v>
      </c>
      <c r="W1039" s="245">
        <v>-12</v>
      </c>
      <c r="X1039" s="245">
        <v>-11</v>
      </c>
      <c r="Y1039" s="245">
        <v>-9</v>
      </c>
      <c r="Z1039" s="245">
        <v>-24</v>
      </c>
      <c r="AA1039" s="245">
        <v>4.5999999999999996</v>
      </c>
      <c r="AB1039" s="245">
        <v>158</v>
      </c>
      <c r="AC1039" s="245">
        <v>-2.5</v>
      </c>
      <c r="AD1039" s="245">
        <v>292</v>
      </c>
      <c r="AE1039" s="245">
        <v>0.4</v>
      </c>
      <c r="AF1039" s="245">
        <v>347</v>
      </c>
      <c r="AG1039" s="245">
        <v>1.8</v>
      </c>
      <c r="AH1039" s="245">
        <v>83</v>
      </c>
      <c r="AI1039" s="245">
        <v>81</v>
      </c>
      <c r="AJ1039" s="245" t="s">
        <v>1018</v>
      </c>
      <c r="AK1039" s="245" t="s">
        <v>938</v>
      </c>
      <c r="AL1039" s="245">
        <v>10.1</v>
      </c>
      <c r="AM1039" s="246">
        <v>7.6</v>
      </c>
      <c r="AN1039" s="235">
        <v>120</v>
      </c>
      <c r="AO1039" s="247" t="s">
        <v>2074</v>
      </c>
      <c r="AP1039" s="247">
        <v>1010</v>
      </c>
      <c r="AQ1039" s="247">
        <v>10.1</v>
      </c>
      <c r="AR1039" s="247">
        <v>14.9</v>
      </c>
      <c r="AS1039" s="247">
        <v>12.5</v>
      </c>
      <c r="AT1039" s="247">
        <v>22</v>
      </c>
      <c r="AU1039" s="247">
        <v>3.7</v>
      </c>
      <c r="AV1039" s="247">
        <v>92</v>
      </c>
      <c r="AW1039" s="247">
        <v>88</v>
      </c>
      <c r="AX1039" s="247">
        <v>292</v>
      </c>
      <c r="AY1039" s="247" t="s">
        <v>965</v>
      </c>
      <c r="AZ1039" s="247" t="s">
        <v>973</v>
      </c>
      <c r="BA1039" s="248">
        <v>7</v>
      </c>
      <c r="BB1039" s="235">
        <v>104</v>
      </c>
      <c r="BC1039" s="247" t="s">
        <v>2072</v>
      </c>
      <c r="BD1039" s="247">
        <v>4.2</v>
      </c>
      <c r="BE1039" s="247">
        <v>4</v>
      </c>
      <c r="BF1039" s="247">
        <v>4.2</v>
      </c>
      <c r="BG1039" s="247">
        <v>5</v>
      </c>
      <c r="BH1039" s="247">
        <v>6.2</v>
      </c>
      <c r="BI1039" s="247">
        <v>8</v>
      </c>
      <c r="BJ1039" s="247">
        <v>10.4</v>
      </c>
      <c r="BK1039" s="247">
        <v>11.7</v>
      </c>
      <c r="BL1039" s="247">
        <v>10.1</v>
      </c>
      <c r="BM1039" s="247">
        <v>7</v>
      </c>
      <c r="BN1039" s="247">
        <v>5.0999999999999996</v>
      </c>
      <c r="BO1039" s="247">
        <v>4.4000000000000004</v>
      </c>
      <c r="BP1039" s="248">
        <v>6.7</v>
      </c>
    </row>
    <row r="1040" spans="1:68" ht="14.25" customHeight="1">
      <c r="A1040" s="233">
        <v>383</v>
      </c>
      <c r="B1040" s="234">
        <v>359</v>
      </c>
      <c r="C1040" s="244" t="s">
        <v>928</v>
      </c>
      <c r="D1040" s="244" t="s">
        <v>1081</v>
      </c>
      <c r="E1040" s="244" t="s">
        <v>2075</v>
      </c>
      <c r="F1040" s="245">
        <v>-26.5</v>
      </c>
      <c r="G1040" s="245">
        <v>-21.1</v>
      </c>
      <c r="H1040" s="245">
        <v>-11.4</v>
      </c>
      <c r="I1040" s="245">
        <v>1.4</v>
      </c>
      <c r="J1040" s="245">
        <v>9.6</v>
      </c>
      <c r="K1040" s="245">
        <v>16.2</v>
      </c>
      <c r="L1040" s="245">
        <v>19.8</v>
      </c>
      <c r="M1040" s="245">
        <v>17.899999999999999</v>
      </c>
      <c r="N1040" s="245">
        <v>11</v>
      </c>
      <c r="O1040" s="245">
        <v>1.1000000000000001</v>
      </c>
      <c r="P1040" s="245">
        <v>-12.6</v>
      </c>
      <c r="Q1040" s="245">
        <v>-23.6</v>
      </c>
      <c r="R1040" s="246">
        <v>-1.5</v>
      </c>
      <c r="S1040" s="233">
        <v>359</v>
      </c>
      <c r="T1040" s="247" t="s">
        <v>2076</v>
      </c>
      <c r="U1040" s="245">
        <v>-40</v>
      </c>
      <c r="V1040" s="245">
        <v>-39</v>
      </c>
      <c r="W1040" s="245">
        <v>-37</v>
      </c>
      <c r="X1040" s="245">
        <v>-36</v>
      </c>
      <c r="Y1040" s="245">
        <v>-31</v>
      </c>
      <c r="Z1040" s="245">
        <v>-46</v>
      </c>
      <c r="AA1040" s="245">
        <v>13.1</v>
      </c>
      <c r="AB1040" s="245">
        <v>176</v>
      </c>
      <c r="AC1040" s="245">
        <v>-16.2</v>
      </c>
      <c r="AD1040" s="245">
        <v>227</v>
      </c>
      <c r="AE1040" s="245">
        <v>-11.5</v>
      </c>
      <c r="AF1040" s="245">
        <v>241</v>
      </c>
      <c r="AG1040" s="245">
        <v>-10.4</v>
      </c>
      <c r="AH1040" s="245">
        <v>79</v>
      </c>
      <c r="AI1040" s="245">
        <v>70</v>
      </c>
      <c r="AJ1040" s="245">
        <v>82</v>
      </c>
      <c r="AK1040" s="245" t="s">
        <v>944</v>
      </c>
      <c r="AL1040" s="245" t="s">
        <v>931</v>
      </c>
      <c r="AM1040" s="246" t="s">
        <v>931</v>
      </c>
      <c r="AN1040" s="235">
        <v>359</v>
      </c>
      <c r="AO1040" s="247" t="s">
        <v>2077</v>
      </c>
      <c r="AP1040" s="247">
        <v>980</v>
      </c>
      <c r="AQ1040" s="247">
        <v>23.4</v>
      </c>
      <c r="AR1040" s="247">
        <v>27.5</v>
      </c>
      <c r="AS1040" s="247">
        <v>25.8</v>
      </c>
      <c r="AT1040" s="247">
        <v>40</v>
      </c>
      <c r="AU1040" s="247">
        <v>11.5</v>
      </c>
      <c r="AV1040" s="247">
        <v>80</v>
      </c>
      <c r="AW1040" s="247">
        <v>66</v>
      </c>
      <c r="AX1040" s="247">
        <v>687</v>
      </c>
      <c r="AY1040" s="247">
        <v>113</v>
      </c>
      <c r="AZ1040" s="247" t="s">
        <v>946</v>
      </c>
      <c r="BA1040" s="248" t="s">
        <v>934</v>
      </c>
      <c r="BB1040" s="235">
        <v>324</v>
      </c>
      <c r="BC1040" s="247" t="s">
        <v>2075</v>
      </c>
      <c r="BD1040" s="247">
        <v>0.6</v>
      </c>
      <c r="BE1040" s="247">
        <v>0.9</v>
      </c>
      <c r="BF1040" s="247">
        <v>2.1</v>
      </c>
      <c r="BG1040" s="247">
        <v>4.4000000000000004</v>
      </c>
      <c r="BH1040" s="247">
        <v>7.5</v>
      </c>
      <c r="BI1040" s="247">
        <v>13.6</v>
      </c>
      <c r="BJ1040" s="247">
        <v>18.600000000000001</v>
      </c>
      <c r="BK1040" s="247">
        <v>17.3</v>
      </c>
      <c r="BL1040" s="247">
        <v>10.6</v>
      </c>
      <c r="BM1040" s="247">
        <v>4.9000000000000004</v>
      </c>
      <c r="BN1040" s="247">
        <v>2</v>
      </c>
      <c r="BO1040" s="247">
        <v>0.9</v>
      </c>
      <c r="BP1040" s="248">
        <v>7</v>
      </c>
    </row>
    <row r="1041" spans="1:68" ht="14.25" customHeight="1">
      <c r="A1041" s="233">
        <v>384</v>
      </c>
      <c r="B1041" s="234">
        <v>152</v>
      </c>
      <c r="C1041" s="244" t="s">
        <v>928</v>
      </c>
      <c r="D1041" s="244" t="s">
        <v>1273</v>
      </c>
      <c r="E1041" s="244" t="s">
        <v>2078</v>
      </c>
      <c r="F1041" s="245">
        <v>-14.9</v>
      </c>
      <c r="G1041" s="245">
        <v>-13</v>
      </c>
      <c r="H1041" s="245">
        <v>-6.6</v>
      </c>
      <c r="I1041" s="245">
        <v>1.7</v>
      </c>
      <c r="J1041" s="245">
        <v>8.5</v>
      </c>
      <c r="K1041" s="245">
        <v>14.4</v>
      </c>
      <c r="L1041" s="245">
        <v>16.600000000000001</v>
      </c>
      <c r="M1041" s="245">
        <v>14.3</v>
      </c>
      <c r="N1041" s="245">
        <v>8.1999999999999993</v>
      </c>
      <c r="O1041" s="245">
        <v>0.7</v>
      </c>
      <c r="P1041" s="245">
        <v>-5.7</v>
      </c>
      <c r="Q1041" s="245">
        <v>-11.6</v>
      </c>
      <c r="R1041" s="246">
        <v>1</v>
      </c>
      <c r="S1041" s="233">
        <v>152</v>
      </c>
      <c r="T1041" s="247" t="s">
        <v>2079</v>
      </c>
      <c r="U1041" s="245">
        <v>-41</v>
      </c>
      <c r="V1041" s="245">
        <v>-39</v>
      </c>
      <c r="W1041" s="245">
        <v>-37</v>
      </c>
      <c r="X1041" s="245">
        <v>-34</v>
      </c>
      <c r="Y1041" s="245">
        <v>-20</v>
      </c>
      <c r="Z1041" s="245">
        <v>-47</v>
      </c>
      <c r="AA1041" s="245">
        <v>7</v>
      </c>
      <c r="AB1041" s="245">
        <v>172</v>
      </c>
      <c r="AC1041" s="245">
        <v>-8.9</v>
      </c>
      <c r="AD1041" s="245">
        <v>239</v>
      </c>
      <c r="AE1041" s="245">
        <v>-5.3</v>
      </c>
      <c r="AF1041" s="245">
        <v>259</v>
      </c>
      <c r="AG1041" s="245">
        <v>-4.2</v>
      </c>
      <c r="AH1041" s="245">
        <v>83</v>
      </c>
      <c r="AI1041" s="245">
        <v>83</v>
      </c>
      <c r="AJ1041" s="245">
        <v>182</v>
      </c>
      <c r="AK1041" s="245" t="s">
        <v>963</v>
      </c>
      <c r="AL1041" s="245" t="s">
        <v>931</v>
      </c>
      <c r="AM1041" s="246">
        <v>3.8</v>
      </c>
      <c r="AN1041" s="235">
        <v>152</v>
      </c>
      <c r="AO1041" s="247" t="s">
        <v>2080</v>
      </c>
      <c r="AP1041" s="247">
        <v>990</v>
      </c>
      <c r="AQ1041" s="247">
        <v>19.899999999999999</v>
      </c>
      <c r="AR1041" s="247">
        <v>24.2</v>
      </c>
      <c r="AS1041" s="247">
        <v>22.3</v>
      </c>
      <c r="AT1041" s="247">
        <v>35</v>
      </c>
      <c r="AU1041" s="247">
        <v>11</v>
      </c>
      <c r="AV1041" s="247">
        <v>72</v>
      </c>
      <c r="AW1041" s="247">
        <v>57</v>
      </c>
      <c r="AX1041" s="247">
        <v>440</v>
      </c>
      <c r="AY1041" s="247">
        <v>73</v>
      </c>
      <c r="AZ1041" s="247" t="s">
        <v>973</v>
      </c>
      <c r="BA1041" s="248" t="s">
        <v>934</v>
      </c>
      <c r="BB1041" s="235">
        <v>132</v>
      </c>
      <c r="BC1041" s="247" t="s">
        <v>2078</v>
      </c>
      <c r="BD1041" s="247">
        <v>2</v>
      </c>
      <c r="BE1041" s="247">
        <v>2.1</v>
      </c>
      <c r="BF1041" s="247">
        <v>3.1</v>
      </c>
      <c r="BG1041" s="247">
        <v>4.8</v>
      </c>
      <c r="BH1041" s="247">
        <v>7.1</v>
      </c>
      <c r="BI1041" s="247">
        <v>10.6</v>
      </c>
      <c r="BJ1041" s="247">
        <v>13.7</v>
      </c>
      <c r="BK1041" s="247">
        <v>12.4</v>
      </c>
      <c r="BL1041" s="247">
        <v>9.1999999999999993</v>
      </c>
      <c r="BM1041" s="247">
        <v>5.8</v>
      </c>
      <c r="BN1041" s="247">
        <v>3.8</v>
      </c>
      <c r="BO1041" s="247">
        <v>2.6</v>
      </c>
      <c r="BP1041" s="248">
        <v>6.4</v>
      </c>
    </row>
    <row r="1042" spans="1:68" ht="14.25" customHeight="1">
      <c r="A1042" s="233">
        <v>385</v>
      </c>
      <c r="B1042" s="234">
        <v>615</v>
      </c>
      <c r="C1042" s="244" t="s">
        <v>953</v>
      </c>
      <c r="D1042" s="244" t="s">
        <v>1517</v>
      </c>
      <c r="E1042" s="244" t="s">
        <v>2081</v>
      </c>
      <c r="F1042" s="245">
        <v>-6.2</v>
      </c>
      <c r="G1042" s="245">
        <v>-4.8</v>
      </c>
      <c r="H1042" s="245">
        <v>-0.1</v>
      </c>
      <c r="I1042" s="245">
        <v>7.6</v>
      </c>
      <c r="J1042" s="245">
        <v>14.2</v>
      </c>
      <c r="K1042" s="245">
        <v>17.2</v>
      </c>
      <c r="L1042" s="245">
        <v>18.100000000000001</v>
      </c>
      <c r="M1042" s="245">
        <v>17.3</v>
      </c>
      <c r="N1042" s="245">
        <v>12.8</v>
      </c>
      <c r="O1042" s="245">
        <v>7.1</v>
      </c>
      <c r="P1042" s="245">
        <v>1.5</v>
      </c>
      <c r="Q1042" s="245">
        <v>-2.9</v>
      </c>
      <c r="R1042" s="246">
        <v>6.8</v>
      </c>
      <c r="S1042" s="233">
        <v>604</v>
      </c>
      <c r="T1042" s="247" t="s">
        <v>2081</v>
      </c>
      <c r="U1042" s="245">
        <v>-28</v>
      </c>
      <c r="V1042" s="245">
        <v>-25</v>
      </c>
      <c r="W1042" s="245">
        <v>-23</v>
      </c>
      <c r="X1042" s="245">
        <v>-21</v>
      </c>
      <c r="Y1042" s="245">
        <v>-8</v>
      </c>
      <c r="Z1042" s="245">
        <v>-34</v>
      </c>
      <c r="AA1042" s="245" t="s">
        <v>956</v>
      </c>
      <c r="AB1042" s="245">
        <v>111</v>
      </c>
      <c r="AC1042" s="245">
        <v>-4</v>
      </c>
      <c r="AD1042" s="245">
        <v>185</v>
      </c>
      <c r="AE1042" s="245">
        <v>-0.9</v>
      </c>
      <c r="AF1042" s="245">
        <v>202</v>
      </c>
      <c r="AG1042" s="245">
        <v>0</v>
      </c>
      <c r="AH1042" s="245" t="s">
        <v>956</v>
      </c>
      <c r="AI1042" s="245" t="s">
        <v>956</v>
      </c>
      <c r="AJ1042" s="245">
        <v>205</v>
      </c>
      <c r="AK1042" s="245" t="s">
        <v>950</v>
      </c>
      <c r="AL1042" s="245" t="s">
        <v>931</v>
      </c>
      <c r="AM1042" s="246" t="s">
        <v>931</v>
      </c>
      <c r="AN1042" s="235">
        <v>605</v>
      </c>
      <c r="AO1042" s="247" t="s">
        <v>2082</v>
      </c>
      <c r="AP1042" s="247">
        <v>995</v>
      </c>
      <c r="AQ1042" s="247">
        <v>26</v>
      </c>
      <c r="AR1042" s="247">
        <v>21</v>
      </c>
      <c r="AS1042" s="247">
        <v>23.8</v>
      </c>
      <c r="AT1042" s="247">
        <v>38</v>
      </c>
      <c r="AU1042" s="247" t="s">
        <v>934</v>
      </c>
      <c r="AV1042" s="247" t="s">
        <v>958</v>
      </c>
      <c r="AW1042" s="247" t="s">
        <v>931</v>
      </c>
      <c r="AX1042" s="247" t="s">
        <v>931</v>
      </c>
      <c r="AY1042" s="247">
        <v>158</v>
      </c>
      <c r="AZ1042" s="247" t="s">
        <v>959</v>
      </c>
      <c r="BA1042" s="248">
        <v>0.9</v>
      </c>
      <c r="BB1042" s="235"/>
      <c r="BC1042" s="247" t="s">
        <v>2081</v>
      </c>
      <c r="BD1042" s="247"/>
      <c r="BE1042" s="247"/>
      <c r="BF1042" s="247"/>
      <c r="BG1042" s="247"/>
      <c r="BH1042" s="247"/>
      <c r="BI1042" s="247"/>
      <c r="BJ1042" s="247"/>
      <c r="BK1042" s="247"/>
      <c r="BL1042" s="247"/>
      <c r="BM1042" s="247"/>
      <c r="BN1042" s="247"/>
      <c r="BO1042" s="247"/>
      <c r="BP1042" s="248"/>
    </row>
    <row r="1043" spans="1:68" ht="14.25" customHeight="1">
      <c r="A1043" s="233">
        <v>386</v>
      </c>
      <c r="B1043" s="234">
        <v>26</v>
      </c>
      <c r="C1043" s="244" t="s">
        <v>928</v>
      </c>
      <c r="D1043" s="244" t="s">
        <v>1046</v>
      </c>
      <c r="E1043" s="244" t="s">
        <v>2083</v>
      </c>
      <c r="F1043" s="245">
        <v>-29.3</v>
      </c>
      <c r="G1043" s="245">
        <v>-23.1</v>
      </c>
      <c r="H1043" s="245">
        <v>-13.9</v>
      </c>
      <c r="I1043" s="245">
        <v>2.2999999999999998</v>
      </c>
      <c r="J1043" s="245">
        <v>7</v>
      </c>
      <c r="K1043" s="245">
        <v>13.8</v>
      </c>
      <c r="L1043" s="245">
        <v>17.100000000000001</v>
      </c>
      <c r="M1043" s="245">
        <v>14.5</v>
      </c>
      <c r="N1043" s="245">
        <v>8</v>
      </c>
      <c r="O1043" s="245">
        <v>-3.3</v>
      </c>
      <c r="P1043" s="245">
        <v>-18</v>
      </c>
      <c r="Q1043" s="245">
        <v>-27.3</v>
      </c>
      <c r="R1043" s="246">
        <v>-4.7</v>
      </c>
      <c r="S1043" s="233">
        <v>26</v>
      </c>
      <c r="T1043" s="247" t="s">
        <v>2084</v>
      </c>
      <c r="U1043" s="245">
        <v>-43</v>
      </c>
      <c r="V1043" s="245">
        <v>-41</v>
      </c>
      <c r="W1043" s="245">
        <v>-41</v>
      </c>
      <c r="X1043" s="245">
        <v>-40</v>
      </c>
      <c r="Y1043" s="245">
        <v>-34</v>
      </c>
      <c r="Z1043" s="245">
        <v>-50</v>
      </c>
      <c r="AA1043" s="245">
        <v>10.4</v>
      </c>
      <c r="AB1043" s="245">
        <v>198</v>
      </c>
      <c r="AC1043" s="245">
        <v>-17.600000000000001</v>
      </c>
      <c r="AD1043" s="245">
        <v>247</v>
      </c>
      <c r="AE1043" s="245">
        <v>-13.3</v>
      </c>
      <c r="AF1043" s="245">
        <v>265</v>
      </c>
      <c r="AG1043" s="245">
        <v>-11.7</v>
      </c>
      <c r="AH1043" s="245">
        <v>70</v>
      </c>
      <c r="AI1043" s="245">
        <v>64</v>
      </c>
      <c r="AJ1043" s="245">
        <v>64</v>
      </c>
      <c r="AK1043" s="245" t="s">
        <v>996</v>
      </c>
      <c r="AL1043" s="245">
        <v>3.2</v>
      </c>
      <c r="AM1043" s="246">
        <v>2.5</v>
      </c>
      <c r="AN1043" s="235">
        <v>26</v>
      </c>
      <c r="AO1043" s="247" t="s">
        <v>2085</v>
      </c>
      <c r="AP1043" s="247">
        <v>960</v>
      </c>
      <c r="AQ1043" s="247">
        <v>21.7</v>
      </c>
      <c r="AR1043" s="247">
        <v>25.9</v>
      </c>
      <c r="AS1043" s="247">
        <v>24.1</v>
      </c>
      <c r="AT1043" s="247">
        <v>35</v>
      </c>
      <c r="AU1043" s="247">
        <v>13.7</v>
      </c>
      <c r="AV1043" s="247">
        <v>78</v>
      </c>
      <c r="AW1043" s="247">
        <v>61</v>
      </c>
      <c r="AX1043" s="247">
        <v>525</v>
      </c>
      <c r="AY1043" s="247">
        <v>96</v>
      </c>
      <c r="AZ1043" s="247" t="s">
        <v>1005</v>
      </c>
      <c r="BA1043" s="248">
        <v>0</v>
      </c>
      <c r="BB1043" s="235"/>
      <c r="BC1043" s="247" t="s">
        <v>2083</v>
      </c>
      <c r="BD1043" s="247"/>
      <c r="BE1043" s="247"/>
      <c r="BF1043" s="247"/>
      <c r="BG1043" s="247"/>
      <c r="BH1043" s="247"/>
      <c r="BI1043" s="247"/>
      <c r="BJ1043" s="247"/>
      <c r="BK1043" s="247"/>
      <c r="BL1043" s="247"/>
      <c r="BM1043" s="247"/>
      <c r="BN1043" s="247"/>
      <c r="BO1043" s="247"/>
      <c r="BP1043" s="248"/>
    </row>
    <row r="1044" spans="1:68" ht="14.25" customHeight="1">
      <c r="A1044" s="233">
        <v>387</v>
      </c>
      <c r="B1044" s="234">
        <v>629</v>
      </c>
      <c r="C1044" s="244" t="s">
        <v>953</v>
      </c>
      <c r="D1044" s="244" t="s">
        <v>1565</v>
      </c>
      <c r="E1044" s="244" t="s">
        <v>2086</v>
      </c>
      <c r="F1044" s="245">
        <v>-1.7</v>
      </c>
      <c r="G1044" s="245">
        <v>-1</v>
      </c>
      <c r="H1044" s="245">
        <v>2.6</v>
      </c>
      <c r="I1044" s="245">
        <v>9</v>
      </c>
      <c r="J1044" s="245">
        <v>15.5</v>
      </c>
      <c r="K1044" s="245">
        <v>19.399999999999999</v>
      </c>
      <c r="L1044" s="245">
        <v>21.4</v>
      </c>
      <c r="M1044" s="245">
        <v>21.2</v>
      </c>
      <c r="N1044" s="245">
        <v>17.100000000000001</v>
      </c>
      <c r="O1044" s="245">
        <v>11.1</v>
      </c>
      <c r="P1044" s="245">
        <v>5.9</v>
      </c>
      <c r="Q1044" s="245">
        <v>1.4</v>
      </c>
      <c r="R1044" s="246">
        <v>10.199999999999999</v>
      </c>
      <c r="S1044" s="233">
        <v>618</v>
      </c>
      <c r="T1044" s="247" t="s">
        <v>2086</v>
      </c>
      <c r="U1044" s="245">
        <v>-24</v>
      </c>
      <c r="V1044" s="245">
        <v>-21</v>
      </c>
      <c r="W1044" s="245">
        <v>-20</v>
      </c>
      <c r="X1044" s="245">
        <v>-18</v>
      </c>
      <c r="Y1044" s="245">
        <v>-6</v>
      </c>
      <c r="Z1044" s="245">
        <v>-29</v>
      </c>
      <c r="AA1044" s="245" t="s">
        <v>956</v>
      </c>
      <c r="AB1044" s="245">
        <v>61</v>
      </c>
      <c r="AC1044" s="245">
        <v>-1.4</v>
      </c>
      <c r="AD1044" s="245">
        <v>158</v>
      </c>
      <c r="AE1044" s="245">
        <v>1.7</v>
      </c>
      <c r="AF1044" s="245">
        <v>178</v>
      </c>
      <c r="AG1044" s="245">
        <v>2.5</v>
      </c>
      <c r="AH1044" s="245" t="s">
        <v>956</v>
      </c>
      <c r="AI1044" s="245" t="s">
        <v>956</v>
      </c>
      <c r="AJ1044" s="245">
        <v>204</v>
      </c>
      <c r="AK1044" s="245" t="s">
        <v>996</v>
      </c>
      <c r="AL1044" s="245">
        <v>6.5</v>
      </c>
      <c r="AM1044" s="246" t="s">
        <v>931</v>
      </c>
      <c r="AN1044" s="235">
        <v>619</v>
      </c>
      <c r="AO1044" s="247" t="s">
        <v>2087</v>
      </c>
      <c r="AP1044" s="247">
        <v>1010</v>
      </c>
      <c r="AQ1044" s="247">
        <v>28</v>
      </c>
      <c r="AR1044" s="247">
        <v>24</v>
      </c>
      <c r="AS1044" s="247">
        <v>25.4</v>
      </c>
      <c r="AT1044" s="247">
        <v>38</v>
      </c>
      <c r="AU1044" s="247" t="s">
        <v>934</v>
      </c>
      <c r="AV1044" s="247" t="s">
        <v>958</v>
      </c>
      <c r="AW1044" s="247" t="s">
        <v>931</v>
      </c>
      <c r="AX1044" s="247" t="s">
        <v>931</v>
      </c>
      <c r="AY1044" s="247">
        <v>103</v>
      </c>
      <c r="AZ1044" s="247" t="s">
        <v>1005</v>
      </c>
      <c r="BA1044" s="248">
        <v>2.1</v>
      </c>
      <c r="BB1044" s="235"/>
      <c r="BC1044" s="247" t="s">
        <v>2086</v>
      </c>
      <c r="BD1044" s="247"/>
      <c r="BE1044" s="247"/>
      <c r="BF1044" s="247"/>
      <c r="BG1044" s="247"/>
      <c r="BH1044" s="247"/>
      <c r="BI1044" s="247"/>
      <c r="BJ1044" s="247"/>
      <c r="BK1044" s="247"/>
      <c r="BL1044" s="247"/>
      <c r="BM1044" s="247"/>
      <c r="BN1044" s="247"/>
      <c r="BO1044" s="247"/>
      <c r="BP1044" s="248"/>
    </row>
    <row r="1045" spans="1:68" ht="14.25" customHeight="1">
      <c r="A1045" s="233">
        <v>388</v>
      </c>
      <c r="B1045" s="234">
        <v>426</v>
      </c>
      <c r="C1045" s="244" t="s">
        <v>928</v>
      </c>
      <c r="D1045" s="244" t="s">
        <v>969</v>
      </c>
      <c r="E1045" s="244" t="s">
        <v>2088</v>
      </c>
      <c r="F1045" s="245">
        <v>-47.5</v>
      </c>
      <c r="G1045" s="245">
        <v>-43.3</v>
      </c>
      <c r="H1045" s="245">
        <v>-32.799999999999997</v>
      </c>
      <c r="I1045" s="245">
        <v>-15.2</v>
      </c>
      <c r="J1045" s="245">
        <v>1.2</v>
      </c>
      <c r="K1045" s="245">
        <v>11.1</v>
      </c>
      <c r="L1045" s="245">
        <v>13.6</v>
      </c>
      <c r="M1045" s="245">
        <v>10.3</v>
      </c>
      <c r="N1045" s="245">
        <v>1.6</v>
      </c>
      <c r="O1045" s="245">
        <v>-16.3</v>
      </c>
      <c r="P1045" s="245">
        <v>-37.299999999999997</v>
      </c>
      <c r="Q1045" s="245">
        <v>-45.6</v>
      </c>
      <c r="R1045" s="246">
        <v>-16.7</v>
      </c>
      <c r="S1045" s="233">
        <v>426</v>
      </c>
      <c r="T1045" s="247" t="s">
        <v>2088</v>
      </c>
      <c r="U1045" s="245">
        <v>-63</v>
      </c>
      <c r="V1045" s="245">
        <v>-62</v>
      </c>
      <c r="W1045" s="245">
        <v>-61</v>
      </c>
      <c r="X1045" s="245">
        <v>-60</v>
      </c>
      <c r="Y1045" s="245">
        <v>-53</v>
      </c>
      <c r="Z1045" s="245">
        <v>-68</v>
      </c>
      <c r="AA1045" s="245">
        <v>9.3000000000000007</v>
      </c>
      <c r="AB1045" s="245">
        <v>238</v>
      </c>
      <c r="AC1045" s="245">
        <v>-30.1</v>
      </c>
      <c r="AD1045" s="245">
        <v>286</v>
      </c>
      <c r="AE1045" s="245">
        <v>-24.3</v>
      </c>
      <c r="AF1045" s="245">
        <v>299</v>
      </c>
      <c r="AG1045" s="245">
        <v>-22.8</v>
      </c>
      <c r="AH1045" s="245">
        <v>74</v>
      </c>
      <c r="AI1045" s="245">
        <v>74</v>
      </c>
      <c r="AJ1045" s="245">
        <v>48</v>
      </c>
      <c r="AK1045" s="245" t="s">
        <v>950</v>
      </c>
      <c r="AL1045" s="245">
        <v>1</v>
      </c>
      <c r="AM1045" s="246">
        <v>0.9</v>
      </c>
      <c r="AN1045" s="235">
        <v>426</v>
      </c>
      <c r="AO1045" s="247" t="s">
        <v>2089</v>
      </c>
      <c r="AP1045" s="247">
        <v>920</v>
      </c>
      <c r="AQ1045" s="247">
        <v>17.899999999999999</v>
      </c>
      <c r="AR1045" s="247">
        <v>23</v>
      </c>
      <c r="AS1045" s="247">
        <v>21.6</v>
      </c>
      <c r="AT1045" s="247">
        <v>33</v>
      </c>
      <c r="AU1045" s="247">
        <v>16.7</v>
      </c>
      <c r="AV1045" s="247">
        <v>61</v>
      </c>
      <c r="AW1045" s="247">
        <v>47</v>
      </c>
      <c r="AX1045" s="247">
        <v>185</v>
      </c>
      <c r="AY1045" s="247">
        <v>39</v>
      </c>
      <c r="AZ1045" s="247" t="s">
        <v>952</v>
      </c>
      <c r="BA1045" s="248">
        <v>0</v>
      </c>
      <c r="BB1045" s="235">
        <v>389</v>
      </c>
      <c r="BC1045" s="247" t="s">
        <v>2088</v>
      </c>
      <c r="BD1045" s="247">
        <v>0.1</v>
      </c>
      <c r="BE1045" s="247">
        <v>0.2</v>
      </c>
      <c r="BF1045" s="247">
        <v>0.4</v>
      </c>
      <c r="BG1045" s="247">
        <v>1.5</v>
      </c>
      <c r="BH1045" s="247">
        <v>4.2</v>
      </c>
      <c r="BI1045" s="247">
        <v>7.7</v>
      </c>
      <c r="BJ1045" s="247">
        <v>10.1</v>
      </c>
      <c r="BK1045" s="247">
        <v>8.6999999999999993</v>
      </c>
      <c r="BL1045" s="247">
        <v>5.0999999999999996</v>
      </c>
      <c r="BM1045" s="247">
        <v>1.8</v>
      </c>
      <c r="BN1045" s="247">
        <v>0.3</v>
      </c>
      <c r="BO1045" s="247">
        <v>0.1</v>
      </c>
      <c r="BP1045" s="248">
        <v>3.4</v>
      </c>
    </row>
    <row r="1046" spans="1:68" ht="14.25" customHeight="1">
      <c r="A1046" s="233">
        <v>389</v>
      </c>
      <c r="B1046" s="234">
        <v>127</v>
      </c>
      <c r="C1046" s="244" t="s">
        <v>928</v>
      </c>
      <c r="D1046" s="244" t="s">
        <v>1023</v>
      </c>
      <c r="E1046" s="244" t="s">
        <v>2090</v>
      </c>
      <c r="F1046" s="245">
        <v>-12.1</v>
      </c>
      <c r="G1046" s="245">
        <v>-12.6</v>
      </c>
      <c r="H1046" s="245">
        <v>-8.6999999999999993</v>
      </c>
      <c r="I1046" s="245">
        <v>-2.5</v>
      </c>
      <c r="J1046" s="245">
        <v>2.1</v>
      </c>
      <c r="K1046" s="245">
        <v>6.1</v>
      </c>
      <c r="L1046" s="245">
        <v>9.8000000000000007</v>
      </c>
      <c r="M1046" s="245">
        <v>11.4</v>
      </c>
      <c r="N1046" s="245">
        <v>9.3000000000000007</v>
      </c>
      <c r="O1046" s="245">
        <v>4.0999999999999996</v>
      </c>
      <c r="P1046" s="245">
        <v>-3</v>
      </c>
      <c r="Q1046" s="245">
        <v>-9</v>
      </c>
      <c r="R1046" s="246">
        <v>-0.4</v>
      </c>
      <c r="S1046" s="233">
        <v>127</v>
      </c>
      <c r="T1046" s="247" t="s">
        <v>2091</v>
      </c>
      <c r="U1046" s="245">
        <v>-32</v>
      </c>
      <c r="V1046" s="245">
        <v>-30</v>
      </c>
      <c r="W1046" s="245">
        <v>-28</v>
      </c>
      <c r="X1046" s="245">
        <v>-25</v>
      </c>
      <c r="Y1046" s="245">
        <v>-18</v>
      </c>
      <c r="Z1046" s="245">
        <v>-42</v>
      </c>
      <c r="AA1046" s="245">
        <v>9.1999999999999993</v>
      </c>
      <c r="AB1046" s="245">
        <v>180</v>
      </c>
      <c r="AC1046" s="245">
        <v>-7.8</v>
      </c>
      <c r="AD1046" s="245">
        <v>281</v>
      </c>
      <c r="AE1046" s="245">
        <v>-3.5</v>
      </c>
      <c r="AF1046" s="245">
        <v>318</v>
      </c>
      <c r="AG1046" s="245">
        <v>-2</v>
      </c>
      <c r="AH1046" s="245">
        <v>81</v>
      </c>
      <c r="AI1046" s="245">
        <v>79</v>
      </c>
      <c r="AJ1046" s="245" t="s">
        <v>1018</v>
      </c>
      <c r="AK1046" s="245" t="s">
        <v>938</v>
      </c>
      <c r="AL1046" s="245">
        <v>6.4</v>
      </c>
      <c r="AM1046" s="246">
        <v>6.8</v>
      </c>
      <c r="AN1046" s="235">
        <v>127</v>
      </c>
      <c r="AO1046" s="247" t="s">
        <v>2092</v>
      </c>
      <c r="AP1046" s="247">
        <v>1010</v>
      </c>
      <c r="AQ1046" s="247">
        <v>11.5</v>
      </c>
      <c r="AR1046" s="247">
        <v>16.5</v>
      </c>
      <c r="AS1046" s="247">
        <v>13.9</v>
      </c>
      <c r="AT1046" s="247">
        <v>28</v>
      </c>
      <c r="AU1046" s="247">
        <v>4.4000000000000004</v>
      </c>
      <c r="AV1046" s="247">
        <v>93</v>
      </c>
      <c r="AW1046" s="247">
        <v>89</v>
      </c>
      <c r="AX1046" s="247">
        <v>389</v>
      </c>
      <c r="AY1046" s="247">
        <v>67</v>
      </c>
      <c r="AZ1046" s="247" t="s">
        <v>959</v>
      </c>
      <c r="BA1046" s="248">
        <v>5.2</v>
      </c>
      <c r="BB1046" s="235">
        <v>110</v>
      </c>
      <c r="BC1046" s="247" t="s">
        <v>2090</v>
      </c>
      <c r="BD1046" s="247">
        <v>2.4</v>
      </c>
      <c r="BE1046" s="247">
        <v>2.2999999999999998</v>
      </c>
      <c r="BF1046" s="247">
        <v>2.9</v>
      </c>
      <c r="BG1046" s="247">
        <v>4.5</v>
      </c>
      <c r="BH1046" s="247">
        <v>6.2</v>
      </c>
      <c r="BI1046" s="247">
        <v>8.6</v>
      </c>
      <c r="BJ1046" s="247">
        <v>11.3</v>
      </c>
      <c r="BK1046" s="247">
        <v>12.4</v>
      </c>
      <c r="BL1046" s="247">
        <v>10.5</v>
      </c>
      <c r="BM1046" s="247">
        <v>7.2</v>
      </c>
      <c r="BN1046" s="247">
        <v>4.4000000000000004</v>
      </c>
      <c r="BO1046" s="247">
        <v>3</v>
      </c>
      <c r="BP1046" s="248">
        <v>6.3</v>
      </c>
    </row>
    <row r="1047" spans="1:68" ht="14.25" customHeight="1">
      <c r="A1047" s="233">
        <v>390</v>
      </c>
      <c r="B1047" s="234">
        <v>330</v>
      </c>
      <c r="C1047" s="244" t="s">
        <v>928</v>
      </c>
      <c r="D1047" s="244" t="s">
        <v>1161</v>
      </c>
      <c r="E1047" s="244" t="s">
        <v>2093</v>
      </c>
      <c r="F1047" s="245">
        <v>-22.8</v>
      </c>
      <c r="G1047" s="245">
        <v>-20.100000000000001</v>
      </c>
      <c r="H1047" s="245">
        <v>-10.199999999999999</v>
      </c>
      <c r="I1047" s="245">
        <v>-2.2000000000000002</v>
      </c>
      <c r="J1047" s="245">
        <v>4.7</v>
      </c>
      <c r="K1047" s="245">
        <v>12</v>
      </c>
      <c r="L1047" s="245">
        <v>16.899999999999999</v>
      </c>
      <c r="M1047" s="245">
        <v>12.6</v>
      </c>
      <c r="N1047" s="245">
        <v>7.2</v>
      </c>
      <c r="O1047" s="245">
        <v>-2.9</v>
      </c>
      <c r="P1047" s="245">
        <v>-11.7</v>
      </c>
      <c r="Q1047" s="245">
        <v>-18.100000000000001</v>
      </c>
      <c r="R1047" s="246">
        <v>-2.9</v>
      </c>
      <c r="S1047" s="233">
        <v>330</v>
      </c>
      <c r="T1047" s="247" t="s">
        <v>2094</v>
      </c>
      <c r="U1047" s="245">
        <v>-47</v>
      </c>
      <c r="V1047" s="245">
        <v>-45</v>
      </c>
      <c r="W1047" s="245">
        <v>-44</v>
      </c>
      <c r="X1047" s="245">
        <v>-41</v>
      </c>
      <c r="Y1047" s="245">
        <v>-28</v>
      </c>
      <c r="Z1047" s="245">
        <v>-49</v>
      </c>
      <c r="AA1047" s="245">
        <v>8.1999999999999993</v>
      </c>
      <c r="AB1047" s="245">
        <v>200</v>
      </c>
      <c r="AC1047" s="245">
        <v>-13</v>
      </c>
      <c r="AD1047" s="245">
        <v>261</v>
      </c>
      <c r="AE1047" s="245">
        <v>-9</v>
      </c>
      <c r="AF1047" s="245">
        <v>280</v>
      </c>
      <c r="AG1047" s="245">
        <v>-7.8</v>
      </c>
      <c r="AH1047" s="245">
        <v>83</v>
      </c>
      <c r="AI1047" s="245">
        <v>83</v>
      </c>
      <c r="AJ1047" s="245">
        <v>177</v>
      </c>
      <c r="AK1047" s="245" t="s">
        <v>982</v>
      </c>
      <c r="AL1047" s="245">
        <v>5.2</v>
      </c>
      <c r="AM1047" s="246" t="s">
        <v>931</v>
      </c>
      <c r="AN1047" s="235">
        <v>330</v>
      </c>
      <c r="AO1047" s="247" t="s">
        <v>2095</v>
      </c>
      <c r="AP1047" s="247">
        <v>1005</v>
      </c>
      <c r="AQ1047" s="247">
        <v>19.899999999999999</v>
      </c>
      <c r="AR1047" s="247">
        <v>24.2</v>
      </c>
      <c r="AS1047" s="247">
        <v>22.3</v>
      </c>
      <c r="AT1047" s="247">
        <v>35</v>
      </c>
      <c r="AU1047" s="247">
        <v>10</v>
      </c>
      <c r="AV1047" s="247">
        <v>70</v>
      </c>
      <c r="AW1047" s="247">
        <v>59</v>
      </c>
      <c r="AX1047" s="247">
        <v>442</v>
      </c>
      <c r="AY1047" s="247">
        <v>104</v>
      </c>
      <c r="AZ1047" s="247" t="s">
        <v>1005</v>
      </c>
      <c r="BA1047" s="248">
        <v>3.4</v>
      </c>
      <c r="BB1047" s="235">
        <v>298</v>
      </c>
      <c r="BC1047" s="247" t="s">
        <v>2093</v>
      </c>
      <c r="BD1047" s="247">
        <v>1.1000000000000001</v>
      </c>
      <c r="BE1047" s="247">
        <v>1.3</v>
      </c>
      <c r="BF1047" s="247">
        <v>2.4</v>
      </c>
      <c r="BG1047" s="247">
        <v>3.8</v>
      </c>
      <c r="BH1047" s="247">
        <v>5.6</v>
      </c>
      <c r="BI1047" s="247">
        <v>9.1999999999999993</v>
      </c>
      <c r="BJ1047" s="247">
        <v>13.3</v>
      </c>
      <c r="BK1047" s="247">
        <v>11.5</v>
      </c>
      <c r="BL1047" s="247">
        <v>8.6</v>
      </c>
      <c r="BM1047" s="247">
        <v>4.5999999999999996</v>
      </c>
      <c r="BN1047" s="247">
        <v>2.7</v>
      </c>
      <c r="BO1047" s="247">
        <v>1.6</v>
      </c>
      <c r="BP1047" s="248">
        <v>5.5</v>
      </c>
    </row>
    <row r="1048" spans="1:68" ht="14.25" customHeight="1">
      <c r="A1048" s="233">
        <v>391</v>
      </c>
      <c r="B1048" s="234">
        <v>427</v>
      </c>
      <c r="C1048" s="244" t="s">
        <v>928</v>
      </c>
      <c r="D1048" s="244" t="s">
        <v>969</v>
      </c>
      <c r="E1048" s="244" t="s">
        <v>2096</v>
      </c>
      <c r="F1048" s="245">
        <v>-32.200000000000003</v>
      </c>
      <c r="G1048" s="245">
        <v>-28.8</v>
      </c>
      <c r="H1048" s="245">
        <v>-16.8</v>
      </c>
      <c r="I1048" s="245">
        <v>-4.2</v>
      </c>
      <c r="J1048" s="245">
        <v>6.2</v>
      </c>
      <c r="K1048" s="245">
        <v>14.6</v>
      </c>
      <c r="L1048" s="245">
        <v>18</v>
      </c>
      <c r="M1048" s="245">
        <v>14.5</v>
      </c>
      <c r="N1048" s="245">
        <v>5.9</v>
      </c>
      <c r="O1048" s="245">
        <v>-5</v>
      </c>
      <c r="P1048" s="245">
        <v>-21.6</v>
      </c>
      <c r="Q1048" s="245">
        <v>-30.8</v>
      </c>
      <c r="R1048" s="246">
        <v>-6.7</v>
      </c>
      <c r="S1048" s="233">
        <v>427</v>
      </c>
      <c r="T1048" s="247" t="s">
        <v>2096</v>
      </c>
      <c r="U1048" s="245">
        <v>-55</v>
      </c>
      <c r="V1048" s="245">
        <v>-52</v>
      </c>
      <c r="W1048" s="245">
        <v>-52</v>
      </c>
      <c r="X1048" s="245">
        <v>-50</v>
      </c>
      <c r="Y1048" s="245">
        <v>-37</v>
      </c>
      <c r="Z1048" s="245">
        <v>-59</v>
      </c>
      <c r="AA1048" s="245">
        <v>7.7</v>
      </c>
      <c r="AB1048" s="245">
        <v>208</v>
      </c>
      <c r="AC1048" s="245">
        <v>-19.899999999999999</v>
      </c>
      <c r="AD1048" s="245">
        <v>256</v>
      </c>
      <c r="AE1048" s="245">
        <v>-15.3</v>
      </c>
      <c r="AF1048" s="245">
        <v>271</v>
      </c>
      <c r="AG1048" s="245">
        <v>-14</v>
      </c>
      <c r="AH1048" s="245">
        <v>78</v>
      </c>
      <c r="AI1048" s="245">
        <v>78</v>
      </c>
      <c r="AJ1048" s="245">
        <v>76</v>
      </c>
      <c r="AK1048" s="245" t="s">
        <v>971</v>
      </c>
      <c r="AL1048" s="245">
        <v>3.5</v>
      </c>
      <c r="AM1048" s="246">
        <v>2.2000000000000002</v>
      </c>
      <c r="AN1048" s="235">
        <v>427</v>
      </c>
      <c r="AO1048" s="247" t="s">
        <v>2097</v>
      </c>
      <c r="AP1048" s="247">
        <v>980</v>
      </c>
      <c r="AQ1048" s="247">
        <v>21.9</v>
      </c>
      <c r="AR1048" s="247">
        <v>26</v>
      </c>
      <c r="AS1048" s="247">
        <v>25.1</v>
      </c>
      <c r="AT1048" s="247">
        <v>37</v>
      </c>
      <c r="AU1048" s="247">
        <v>13.5</v>
      </c>
      <c r="AV1048" s="247">
        <v>67</v>
      </c>
      <c r="AW1048" s="247">
        <v>63</v>
      </c>
      <c r="AX1048" s="247">
        <v>239</v>
      </c>
      <c r="AY1048" s="247">
        <v>80</v>
      </c>
      <c r="AZ1048" s="247" t="s">
        <v>940</v>
      </c>
      <c r="BA1048" s="248">
        <v>0</v>
      </c>
      <c r="BB1048" s="235">
        <v>390</v>
      </c>
      <c r="BC1048" s="247" t="s">
        <v>2096</v>
      </c>
      <c r="BD1048" s="247">
        <v>0.4</v>
      </c>
      <c r="BE1048" s="247">
        <v>0.6</v>
      </c>
      <c r="BF1048" s="247">
        <v>1.3</v>
      </c>
      <c r="BG1048" s="247">
        <v>2.9</v>
      </c>
      <c r="BH1048" s="247">
        <v>5.3</v>
      </c>
      <c r="BI1048" s="247">
        <v>10.199999999999999</v>
      </c>
      <c r="BJ1048" s="247">
        <v>13.8</v>
      </c>
      <c r="BK1048" s="247">
        <v>12.2</v>
      </c>
      <c r="BL1048" s="247">
        <v>7.4</v>
      </c>
      <c r="BM1048" s="247">
        <v>3.5</v>
      </c>
      <c r="BN1048" s="247">
        <v>1.2</v>
      </c>
      <c r="BO1048" s="247">
        <v>0.6</v>
      </c>
      <c r="BP1048" s="248">
        <v>5</v>
      </c>
    </row>
    <row r="1049" spans="1:68" ht="14.25" customHeight="1">
      <c r="A1049" s="233">
        <v>392</v>
      </c>
      <c r="B1049" s="234">
        <v>428</v>
      </c>
      <c r="C1049" s="244" t="s">
        <v>928</v>
      </c>
      <c r="D1049" s="244" t="s">
        <v>969</v>
      </c>
      <c r="E1049" s="244" t="s">
        <v>2098</v>
      </c>
      <c r="F1049" s="245">
        <v>-41.3</v>
      </c>
      <c r="G1049" s="245">
        <v>37.4</v>
      </c>
      <c r="H1049" s="245">
        <v>-26.5</v>
      </c>
      <c r="I1049" s="245">
        <v>-13.1</v>
      </c>
      <c r="J1049" s="245">
        <v>-1.1000000000000001</v>
      </c>
      <c r="K1049" s="245">
        <v>10.199999999999999</v>
      </c>
      <c r="L1049" s="245">
        <v>14.6</v>
      </c>
      <c r="M1049" s="245">
        <v>10</v>
      </c>
      <c r="N1049" s="245">
        <v>2.4</v>
      </c>
      <c r="O1049" s="245">
        <v>-12.1</v>
      </c>
      <c r="P1049" s="245">
        <v>-31.8</v>
      </c>
      <c r="Q1049" s="245">
        <v>-36.9</v>
      </c>
      <c r="R1049" s="246">
        <v>-13.6</v>
      </c>
      <c r="S1049" s="233">
        <v>428</v>
      </c>
      <c r="T1049" s="247" t="s">
        <v>2098</v>
      </c>
      <c r="U1049" s="245">
        <v>-62</v>
      </c>
      <c r="V1049" s="245">
        <v>-59</v>
      </c>
      <c r="W1049" s="245">
        <v>-58</v>
      </c>
      <c r="X1049" s="245">
        <v>-57</v>
      </c>
      <c r="Y1049" s="245">
        <v>-46</v>
      </c>
      <c r="Z1049" s="245">
        <v>-63</v>
      </c>
      <c r="AA1049" s="245">
        <v>10</v>
      </c>
      <c r="AB1049" s="245">
        <v>240</v>
      </c>
      <c r="AC1049" s="245">
        <v>-25</v>
      </c>
      <c r="AD1049" s="245">
        <v>290</v>
      </c>
      <c r="AE1049" s="245">
        <v>-20</v>
      </c>
      <c r="AF1049" s="245">
        <v>303</v>
      </c>
      <c r="AG1049" s="245">
        <v>-18.7</v>
      </c>
      <c r="AH1049" s="245">
        <v>75</v>
      </c>
      <c r="AI1049" s="245">
        <v>75</v>
      </c>
      <c r="AJ1049" s="245">
        <v>62</v>
      </c>
      <c r="AK1049" s="245" t="s">
        <v>944</v>
      </c>
      <c r="AL1049" s="245">
        <v>2.4</v>
      </c>
      <c r="AM1049" s="246">
        <v>2.2999999999999998</v>
      </c>
      <c r="AN1049" s="235">
        <v>428</v>
      </c>
      <c r="AO1049" s="247" t="s">
        <v>2099</v>
      </c>
      <c r="AP1049" s="247">
        <v>980</v>
      </c>
      <c r="AQ1049" s="247">
        <v>18.8</v>
      </c>
      <c r="AR1049" s="247">
        <v>23.4</v>
      </c>
      <c r="AS1049" s="247">
        <v>21.1</v>
      </c>
      <c r="AT1049" s="247">
        <v>36</v>
      </c>
      <c r="AU1049" s="247">
        <v>13.4</v>
      </c>
      <c r="AV1049" s="247">
        <v>63</v>
      </c>
      <c r="AW1049" s="247">
        <v>53</v>
      </c>
      <c r="AX1049" s="247">
        <v>244</v>
      </c>
      <c r="AY1049" s="247">
        <v>60</v>
      </c>
      <c r="AZ1049" s="247" t="s">
        <v>940</v>
      </c>
      <c r="BA1049" s="248">
        <v>0</v>
      </c>
      <c r="BB1049" s="235">
        <v>391</v>
      </c>
      <c r="BC1049" s="247" t="s">
        <v>2098</v>
      </c>
      <c r="BD1049" s="247">
        <v>0.3</v>
      </c>
      <c r="BE1049" s="247">
        <v>0.4</v>
      </c>
      <c r="BF1049" s="247">
        <v>0.8</v>
      </c>
      <c r="BG1049" s="247">
        <v>1.8</v>
      </c>
      <c r="BH1049" s="247">
        <v>3.7</v>
      </c>
      <c r="BI1049" s="247">
        <v>7.4</v>
      </c>
      <c r="BJ1049" s="247">
        <v>10.3</v>
      </c>
      <c r="BK1049" s="247">
        <v>9</v>
      </c>
      <c r="BL1049" s="247">
        <v>5.8</v>
      </c>
      <c r="BM1049" s="247">
        <v>2.5</v>
      </c>
      <c r="BN1049" s="247">
        <v>0.6</v>
      </c>
      <c r="BO1049" s="247">
        <v>0.4</v>
      </c>
      <c r="BP1049" s="248">
        <v>3.6</v>
      </c>
    </row>
    <row r="1050" spans="1:68" ht="14.25" customHeight="1">
      <c r="A1050" s="233">
        <v>393</v>
      </c>
      <c r="B1050" s="234">
        <v>134</v>
      </c>
      <c r="C1050" s="244" t="s">
        <v>928</v>
      </c>
      <c r="D1050" s="244" t="s">
        <v>1680</v>
      </c>
      <c r="E1050" s="244" t="s">
        <v>2100</v>
      </c>
      <c r="F1050" s="245">
        <v>-10.3</v>
      </c>
      <c r="G1050" s="245">
        <v>-10.5</v>
      </c>
      <c r="H1050" s="245">
        <v>-6.3</v>
      </c>
      <c r="I1050" s="245">
        <v>1.3</v>
      </c>
      <c r="J1050" s="245">
        <v>8.6</v>
      </c>
      <c r="K1050" s="245">
        <v>13.6</v>
      </c>
      <c r="L1050" s="245">
        <v>16.399999999999999</v>
      </c>
      <c r="M1050" s="245">
        <v>14.7</v>
      </c>
      <c r="N1050" s="245">
        <v>9.3000000000000007</v>
      </c>
      <c r="O1050" s="245">
        <v>3.4</v>
      </c>
      <c r="P1050" s="245">
        <v>-1.8</v>
      </c>
      <c r="Q1050" s="245">
        <v>-7.1</v>
      </c>
      <c r="R1050" s="246">
        <v>2.6</v>
      </c>
      <c r="S1050" s="233">
        <v>134</v>
      </c>
      <c r="T1050" s="247" t="s">
        <v>2101</v>
      </c>
      <c r="U1050" s="245">
        <v>-38</v>
      </c>
      <c r="V1050" s="245">
        <v>-35</v>
      </c>
      <c r="W1050" s="245">
        <v>-34</v>
      </c>
      <c r="X1050" s="245">
        <v>-29</v>
      </c>
      <c r="Y1050" s="245">
        <v>-15</v>
      </c>
      <c r="Z1050" s="245">
        <v>-54</v>
      </c>
      <c r="AA1050" s="245">
        <v>8.4</v>
      </c>
      <c r="AB1050" s="245">
        <v>156</v>
      </c>
      <c r="AC1050" s="245">
        <v>-6.7</v>
      </c>
      <c r="AD1050" s="245">
        <v>233</v>
      </c>
      <c r="AE1050" s="245">
        <v>-3.2</v>
      </c>
      <c r="AF1050" s="245">
        <v>255</v>
      </c>
      <c r="AG1050" s="245">
        <v>-2.1</v>
      </c>
      <c r="AH1050" s="245">
        <v>86</v>
      </c>
      <c r="AI1050" s="245">
        <v>86</v>
      </c>
      <c r="AJ1050" s="245">
        <v>215</v>
      </c>
      <c r="AK1050" s="245" t="s">
        <v>971</v>
      </c>
      <c r="AL1050" s="245">
        <v>6.5</v>
      </c>
      <c r="AM1050" s="246">
        <v>4.2</v>
      </c>
      <c r="AN1050" s="235">
        <v>134</v>
      </c>
      <c r="AO1050" s="247" t="s">
        <v>2102</v>
      </c>
      <c r="AP1050" s="247">
        <v>1010</v>
      </c>
      <c r="AQ1050" s="247">
        <v>19.7</v>
      </c>
      <c r="AR1050" s="247">
        <v>24</v>
      </c>
      <c r="AS1050" s="247">
        <v>29.1</v>
      </c>
      <c r="AT1050" s="247">
        <v>36</v>
      </c>
      <c r="AU1050" s="247">
        <v>11.6</v>
      </c>
      <c r="AV1050" s="247">
        <v>74</v>
      </c>
      <c r="AW1050" s="247">
        <v>59</v>
      </c>
      <c r="AX1050" s="247">
        <v>647</v>
      </c>
      <c r="AY1050" s="247">
        <v>97</v>
      </c>
      <c r="AZ1050" s="247" t="s">
        <v>978</v>
      </c>
      <c r="BA1050" s="248">
        <v>3.1</v>
      </c>
      <c r="BB1050" s="235">
        <v>117</v>
      </c>
      <c r="BC1050" s="247" t="s">
        <v>2100</v>
      </c>
      <c r="BD1050" s="247">
        <v>2.9</v>
      </c>
      <c r="BE1050" s="247">
        <v>2.8</v>
      </c>
      <c r="BF1050" s="247">
        <v>3.4</v>
      </c>
      <c r="BG1050" s="247">
        <v>5.3</v>
      </c>
      <c r="BH1050" s="247">
        <v>7.5</v>
      </c>
      <c r="BI1050" s="247">
        <v>11.2</v>
      </c>
      <c r="BJ1050" s="247">
        <v>13.9</v>
      </c>
      <c r="BK1050" s="247">
        <v>13.5</v>
      </c>
      <c r="BL1050" s="247">
        <v>10.199999999999999</v>
      </c>
      <c r="BM1050" s="247">
        <v>7</v>
      </c>
      <c r="BN1050" s="247">
        <v>5.2</v>
      </c>
      <c r="BO1050" s="247">
        <v>3.7</v>
      </c>
      <c r="BP1050" s="248">
        <v>7.2</v>
      </c>
    </row>
    <row r="1051" spans="1:68" ht="14.25" customHeight="1">
      <c r="A1051" s="233">
        <v>394</v>
      </c>
      <c r="B1051" s="234">
        <v>396</v>
      </c>
      <c r="C1051" s="244" t="s">
        <v>928</v>
      </c>
      <c r="D1051" s="244" t="s">
        <v>1011</v>
      </c>
      <c r="E1051" s="244" t="s">
        <v>2103</v>
      </c>
      <c r="F1051" s="245">
        <v>-36.4</v>
      </c>
      <c r="G1051" s="245">
        <v>-35.6</v>
      </c>
      <c r="H1051" s="245">
        <v>-28.2</v>
      </c>
      <c r="I1051" s="245">
        <v>-14.6</v>
      </c>
      <c r="J1051" s="245">
        <v>1.1000000000000001</v>
      </c>
      <c r="K1051" s="245">
        <v>11.6</v>
      </c>
      <c r="L1051" s="245">
        <v>13.2</v>
      </c>
      <c r="M1051" s="245">
        <v>9.9</v>
      </c>
      <c r="N1051" s="245">
        <v>2.5</v>
      </c>
      <c r="O1051" s="245">
        <v>-12.1</v>
      </c>
      <c r="P1051" s="245">
        <v>-28.8</v>
      </c>
      <c r="Q1051" s="245">
        <v>-36.200000000000003</v>
      </c>
      <c r="R1051" s="246">
        <v>-12.8</v>
      </c>
      <c r="S1051" s="233">
        <v>396</v>
      </c>
      <c r="T1051" s="247" t="s">
        <v>2104</v>
      </c>
      <c r="U1051" s="245">
        <v>-56</v>
      </c>
      <c r="V1051" s="245">
        <v>-53</v>
      </c>
      <c r="W1051" s="245">
        <v>-50</v>
      </c>
      <c r="X1051" s="245">
        <v>-47</v>
      </c>
      <c r="Y1051" s="245">
        <v>-37</v>
      </c>
      <c r="Z1051" s="245">
        <v>-61</v>
      </c>
      <c r="AA1051" s="245">
        <v>9.6</v>
      </c>
      <c r="AB1051" s="245">
        <v>232</v>
      </c>
      <c r="AC1051" s="245">
        <v>-25.2</v>
      </c>
      <c r="AD1051" s="245">
        <v>283</v>
      </c>
      <c r="AE1051" s="245">
        <v>-19.8</v>
      </c>
      <c r="AF1051" s="245">
        <v>299</v>
      </c>
      <c r="AG1051" s="245">
        <v>-18.3</v>
      </c>
      <c r="AH1051" s="245">
        <v>75</v>
      </c>
      <c r="AI1051" s="245">
        <v>74</v>
      </c>
      <c r="AJ1051" s="245">
        <v>88</v>
      </c>
      <c r="AK1051" s="245" t="s">
        <v>944</v>
      </c>
      <c r="AL1051" s="245">
        <v>4.2</v>
      </c>
      <c r="AM1051" s="246">
        <v>1.6</v>
      </c>
      <c r="AN1051" s="235">
        <v>396</v>
      </c>
      <c r="AO1051" s="247" t="s">
        <v>2105</v>
      </c>
      <c r="AP1051" s="247">
        <v>980</v>
      </c>
      <c r="AQ1051" s="247">
        <v>16</v>
      </c>
      <c r="AR1051" s="247">
        <v>20</v>
      </c>
      <c r="AS1051" s="247">
        <v>19.399999999999999</v>
      </c>
      <c r="AT1051" s="247">
        <v>32</v>
      </c>
      <c r="AU1051" s="247">
        <v>12.7</v>
      </c>
      <c r="AV1051" s="247">
        <v>68</v>
      </c>
      <c r="AW1051" s="247">
        <v>55</v>
      </c>
      <c r="AX1051" s="247">
        <v>193</v>
      </c>
      <c r="AY1051" s="247">
        <v>32</v>
      </c>
      <c r="AZ1051" s="247" t="s">
        <v>959</v>
      </c>
      <c r="BA1051" s="248">
        <v>0</v>
      </c>
      <c r="BB1051" s="235">
        <v>360</v>
      </c>
      <c r="BC1051" s="247" t="s">
        <v>2103</v>
      </c>
      <c r="BD1051" s="247">
        <v>0.4</v>
      </c>
      <c r="BE1051" s="247">
        <v>0.4</v>
      </c>
      <c r="BF1051" s="247">
        <v>0.6</v>
      </c>
      <c r="BG1051" s="247">
        <v>1.7</v>
      </c>
      <c r="BH1051" s="247">
        <v>4.4000000000000004</v>
      </c>
      <c r="BI1051" s="247">
        <v>7.9</v>
      </c>
      <c r="BJ1051" s="247">
        <v>10.1</v>
      </c>
      <c r="BK1051" s="247">
        <v>8.9</v>
      </c>
      <c r="BL1051" s="247">
        <v>5.6</v>
      </c>
      <c r="BM1051" s="247">
        <v>2.2999999999999998</v>
      </c>
      <c r="BN1051" s="247">
        <v>0.7</v>
      </c>
      <c r="BO1051" s="247">
        <v>0.4</v>
      </c>
      <c r="BP1051" s="248">
        <v>3.6</v>
      </c>
    </row>
    <row r="1052" spans="1:68" ht="14.25" customHeight="1">
      <c r="A1052" s="233">
        <v>395</v>
      </c>
      <c r="B1052" s="234">
        <v>242</v>
      </c>
      <c r="C1052" s="244" t="s">
        <v>928</v>
      </c>
      <c r="D1052" s="244" t="s">
        <v>1583</v>
      </c>
      <c r="E1052" s="244" t="s">
        <v>205</v>
      </c>
      <c r="F1052" s="245">
        <v>-19</v>
      </c>
      <c r="G1052" s="245">
        <v>-17.600000000000001</v>
      </c>
      <c r="H1052" s="245">
        <v>-10.1</v>
      </c>
      <c r="I1052" s="245">
        <v>2.8</v>
      </c>
      <c r="J1052" s="245">
        <v>11.4</v>
      </c>
      <c r="K1052" s="245">
        <v>17.100000000000001</v>
      </c>
      <c r="L1052" s="245">
        <v>18.899999999999999</v>
      </c>
      <c r="M1052" s="245">
        <v>15.8</v>
      </c>
      <c r="N1052" s="245">
        <v>10.6</v>
      </c>
      <c r="O1052" s="245">
        <v>1.9</v>
      </c>
      <c r="P1052" s="245">
        <v>-8.5</v>
      </c>
      <c r="Q1052" s="245">
        <v>-16</v>
      </c>
      <c r="R1052" s="246">
        <v>0.6</v>
      </c>
      <c r="S1052" s="233">
        <v>242</v>
      </c>
      <c r="T1052" s="247" t="s">
        <v>2106</v>
      </c>
      <c r="U1052" s="245">
        <v>-42</v>
      </c>
      <c r="V1052" s="245">
        <v>-41</v>
      </c>
      <c r="W1052" s="245">
        <v>-39</v>
      </c>
      <c r="X1052" s="245">
        <v>-37</v>
      </c>
      <c r="Y1052" s="245">
        <v>-24</v>
      </c>
      <c r="Z1052" s="245">
        <v>-49</v>
      </c>
      <c r="AA1052" s="245">
        <v>8.8000000000000007</v>
      </c>
      <c r="AB1052" s="245">
        <v>169</v>
      </c>
      <c r="AC1052" s="245">
        <v>-12.3</v>
      </c>
      <c r="AD1052" s="245">
        <v>221</v>
      </c>
      <c r="AE1052" s="245">
        <v>-8.4</v>
      </c>
      <c r="AF1052" s="245">
        <v>235</v>
      </c>
      <c r="AG1052" s="245">
        <v>-7.4</v>
      </c>
      <c r="AH1052" s="245">
        <v>80</v>
      </c>
      <c r="AI1052" s="245">
        <v>80</v>
      </c>
      <c r="AJ1052" s="245">
        <v>79</v>
      </c>
      <c r="AK1052" s="245" t="s">
        <v>971</v>
      </c>
      <c r="AL1052" s="245">
        <v>5.0999999999999996</v>
      </c>
      <c r="AM1052" s="246">
        <v>5</v>
      </c>
      <c r="AN1052" s="235">
        <v>242</v>
      </c>
      <c r="AO1052" s="247" t="s">
        <v>2107</v>
      </c>
      <c r="AP1052" s="247">
        <v>995</v>
      </c>
      <c r="AQ1052" s="247">
        <v>23.3</v>
      </c>
      <c r="AR1052" s="247">
        <v>27.7</v>
      </c>
      <c r="AS1052" s="247">
        <v>25</v>
      </c>
      <c r="AT1052" s="247">
        <v>40</v>
      </c>
      <c r="AU1052" s="247">
        <v>8</v>
      </c>
      <c r="AV1052" s="247">
        <v>68</v>
      </c>
      <c r="AW1052" s="247">
        <v>52</v>
      </c>
      <c r="AX1052" s="247">
        <v>296</v>
      </c>
      <c r="AY1052" s="247">
        <v>75</v>
      </c>
      <c r="AZ1052" s="247" t="s">
        <v>959</v>
      </c>
      <c r="BA1052" s="248">
        <v>3.7</v>
      </c>
      <c r="BB1052" s="235">
        <v>213</v>
      </c>
      <c r="BC1052" s="247" t="s">
        <v>205</v>
      </c>
      <c r="BD1052" s="247">
        <v>1.4</v>
      </c>
      <c r="BE1052" s="247">
        <v>1.5</v>
      </c>
      <c r="BF1052" s="247">
        <v>2.6</v>
      </c>
      <c r="BG1052" s="247">
        <v>5.3</v>
      </c>
      <c r="BH1052" s="247">
        <v>7.1</v>
      </c>
      <c r="BI1052" s="247">
        <v>11.1</v>
      </c>
      <c r="BJ1052" s="247">
        <v>14.5</v>
      </c>
      <c r="BK1052" s="247">
        <v>12.7</v>
      </c>
      <c r="BL1052" s="247">
        <v>8.8000000000000007</v>
      </c>
      <c r="BM1052" s="247">
        <v>5.3</v>
      </c>
      <c r="BN1052" s="247">
        <v>3.1</v>
      </c>
      <c r="BO1052" s="247">
        <v>1.9</v>
      </c>
      <c r="BP1052" s="248">
        <v>6.3</v>
      </c>
    </row>
    <row r="1053" spans="1:68" ht="14.25" customHeight="1">
      <c r="A1053" s="233">
        <v>396</v>
      </c>
      <c r="B1053" s="234">
        <v>204</v>
      </c>
      <c r="C1053" s="244" t="s">
        <v>928</v>
      </c>
      <c r="D1053" s="244" t="s">
        <v>1039</v>
      </c>
      <c r="E1053" s="244" t="s">
        <v>2108</v>
      </c>
      <c r="F1053" s="245">
        <v>-33.4</v>
      </c>
      <c r="G1053" s="245">
        <v>-31</v>
      </c>
      <c r="H1053" s="245">
        <v>-24.3</v>
      </c>
      <c r="I1053" s="245">
        <v>-12.4</v>
      </c>
      <c r="J1053" s="245">
        <v>0.8</v>
      </c>
      <c r="K1053" s="245">
        <v>10.1</v>
      </c>
      <c r="L1053" s="245">
        <v>13.2</v>
      </c>
      <c r="M1053" s="245">
        <v>10.6</v>
      </c>
      <c r="N1053" s="245">
        <v>3.1</v>
      </c>
      <c r="O1053" s="245">
        <v>-11.3</v>
      </c>
      <c r="P1053" s="245">
        <v>-26.5</v>
      </c>
      <c r="Q1053" s="245">
        <v>-32.5</v>
      </c>
      <c r="R1053" s="246">
        <v>-11.1</v>
      </c>
      <c r="S1053" s="233">
        <v>204</v>
      </c>
      <c r="T1053" s="247" t="s">
        <v>2109</v>
      </c>
      <c r="U1053" s="245">
        <v>-56</v>
      </c>
      <c r="V1053" s="245">
        <v>-53</v>
      </c>
      <c r="W1053" s="245">
        <v>-54</v>
      </c>
      <c r="X1053" s="245">
        <v>-50</v>
      </c>
      <c r="Y1053" s="245">
        <v>-38</v>
      </c>
      <c r="Z1053" s="245">
        <v>-56</v>
      </c>
      <c r="AA1053" s="245">
        <v>8</v>
      </c>
      <c r="AB1053" s="245">
        <v>234</v>
      </c>
      <c r="AC1053" s="245">
        <v>-21.9</v>
      </c>
      <c r="AD1053" s="245">
        <v>286</v>
      </c>
      <c r="AE1053" s="245">
        <v>-17.2</v>
      </c>
      <c r="AF1053" s="245">
        <v>301</v>
      </c>
      <c r="AG1053" s="245">
        <v>-15.9</v>
      </c>
      <c r="AH1053" s="245">
        <v>74</v>
      </c>
      <c r="AI1053" s="245">
        <v>74</v>
      </c>
      <c r="AJ1053" s="245">
        <v>80</v>
      </c>
      <c r="AK1053" s="245" t="s">
        <v>938</v>
      </c>
      <c r="AL1053" s="245">
        <v>6.9</v>
      </c>
      <c r="AM1053" s="246">
        <v>2.8</v>
      </c>
      <c r="AN1053" s="235">
        <v>204</v>
      </c>
      <c r="AO1053" s="247" t="s">
        <v>2110</v>
      </c>
      <c r="AP1053" s="247">
        <v>960</v>
      </c>
      <c r="AQ1053" s="247">
        <v>17.100000000000001</v>
      </c>
      <c r="AR1053" s="247">
        <v>21.5</v>
      </c>
      <c r="AS1053" s="247">
        <v>19.5</v>
      </c>
      <c r="AT1053" s="247">
        <v>33</v>
      </c>
      <c r="AU1053" s="247">
        <v>12.6</v>
      </c>
      <c r="AV1053" s="247">
        <v>65</v>
      </c>
      <c r="AW1053" s="247">
        <v>51</v>
      </c>
      <c r="AX1053" s="247">
        <v>217</v>
      </c>
      <c r="AY1053" s="247">
        <v>32</v>
      </c>
      <c r="AZ1053" s="247" t="s">
        <v>978</v>
      </c>
      <c r="BA1053" s="248">
        <v>0</v>
      </c>
      <c r="BB1053" s="235">
        <v>179</v>
      </c>
      <c r="BC1053" s="247" t="s">
        <v>2108</v>
      </c>
      <c r="BD1053" s="247">
        <v>0.4</v>
      </c>
      <c r="BE1053" s="247">
        <v>0.5</v>
      </c>
      <c r="BF1053" s="247">
        <v>0.8</v>
      </c>
      <c r="BG1053" s="247">
        <v>1.8</v>
      </c>
      <c r="BH1053" s="247">
        <v>4.2</v>
      </c>
      <c r="BI1053" s="247">
        <v>7.2</v>
      </c>
      <c r="BJ1053" s="247">
        <v>9.6</v>
      </c>
      <c r="BK1053" s="247">
        <v>8.6999999999999993</v>
      </c>
      <c r="BL1053" s="247">
        <v>5.5</v>
      </c>
      <c r="BM1053" s="247">
        <v>2.2999999999999998</v>
      </c>
      <c r="BN1053" s="247">
        <v>0.7</v>
      </c>
      <c r="BO1053" s="247">
        <v>0.5</v>
      </c>
      <c r="BP1053" s="248">
        <v>3.5</v>
      </c>
    </row>
    <row r="1054" spans="1:68" ht="14.25" customHeight="1">
      <c r="A1054" s="233">
        <v>397</v>
      </c>
      <c r="B1054" s="234">
        <v>9</v>
      </c>
      <c r="C1054" s="244" t="s">
        <v>928</v>
      </c>
      <c r="D1054" s="244" t="s">
        <v>974</v>
      </c>
      <c r="E1054" s="244" t="s">
        <v>2111</v>
      </c>
      <c r="F1054" s="245">
        <v>-21.1</v>
      </c>
      <c r="G1054" s="245">
        <v>-17.5</v>
      </c>
      <c r="H1054" s="245">
        <v>-7.2</v>
      </c>
      <c r="I1054" s="245">
        <v>3.5</v>
      </c>
      <c r="J1054" s="245">
        <v>10</v>
      </c>
      <c r="K1054" s="245">
        <v>14.9</v>
      </c>
      <c r="L1054" s="245">
        <v>16.3</v>
      </c>
      <c r="M1054" s="245">
        <v>13.9</v>
      </c>
      <c r="N1054" s="245">
        <v>8.5</v>
      </c>
      <c r="O1054" s="245">
        <v>1.1000000000000001</v>
      </c>
      <c r="P1054" s="245">
        <v>-10.1</v>
      </c>
      <c r="Q1054" s="245">
        <v>-18.3</v>
      </c>
      <c r="R1054" s="246">
        <v>-0.5</v>
      </c>
      <c r="S1054" s="233">
        <v>9</v>
      </c>
      <c r="T1054" s="247" t="s">
        <v>2112</v>
      </c>
      <c r="U1054" s="245">
        <v>-42</v>
      </c>
      <c r="V1054" s="245">
        <v>-41</v>
      </c>
      <c r="W1054" s="245">
        <v>-40</v>
      </c>
      <c r="X1054" s="245">
        <v>-38</v>
      </c>
      <c r="Y1054" s="245">
        <v>-26</v>
      </c>
      <c r="Z1054" s="245">
        <v>-46</v>
      </c>
      <c r="AA1054" s="245">
        <v>11.1</v>
      </c>
      <c r="AB1054" s="245">
        <v>168</v>
      </c>
      <c r="AC1054" s="245">
        <v>-13</v>
      </c>
      <c r="AD1054" s="245">
        <v>231</v>
      </c>
      <c r="AE1054" s="245">
        <v>-8.3000000000000007</v>
      </c>
      <c r="AF1054" s="245">
        <v>249</v>
      </c>
      <c r="AG1054" s="245">
        <v>-7.3</v>
      </c>
      <c r="AH1054" s="245">
        <v>79</v>
      </c>
      <c r="AI1054" s="245">
        <v>71</v>
      </c>
      <c r="AJ1054" s="245">
        <v>46</v>
      </c>
      <c r="AK1054" s="245" t="s">
        <v>950</v>
      </c>
      <c r="AL1054" s="245">
        <v>2.2999999999999998</v>
      </c>
      <c r="AM1054" s="246">
        <v>9.1</v>
      </c>
      <c r="AN1054" s="235">
        <v>9</v>
      </c>
      <c r="AO1054" s="247" t="s">
        <v>2113</v>
      </c>
      <c r="AP1054" s="247">
        <v>930</v>
      </c>
      <c r="AQ1054" s="247">
        <v>22.2</v>
      </c>
      <c r="AR1054" s="247">
        <v>26.4</v>
      </c>
      <c r="AS1054" s="247">
        <v>24.6</v>
      </c>
      <c r="AT1054" s="247">
        <v>38</v>
      </c>
      <c r="AU1054" s="247">
        <v>15.3</v>
      </c>
      <c r="AV1054" s="247">
        <v>71</v>
      </c>
      <c r="AW1054" s="247">
        <v>50</v>
      </c>
      <c r="AX1054" s="247">
        <v>334</v>
      </c>
      <c r="AY1054" s="247">
        <v>52</v>
      </c>
      <c r="AZ1054" s="247" t="s">
        <v>952</v>
      </c>
      <c r="BA1054" s="248">
        <v>0</v>
      </c>
      <c r="BB1054" s="235">
        <v>12</v>
      </c>
      <c r="BC1054" s="247" t="s">
        <v>2111</v>
      </c>
      <c r="BD1054" s="247">
        <v>1.1000000000000001</v>
      </c>
      <c r="BE1054" s="247">
        <v>1.4</v>
      </c>
      <c r="BF1054" s="247">
        <v>2.6</v>
      </c>
      <c r="BG1054" s="247">
        <v>4.3</v>
      </c>
      <c r="BH1054" s="247">
        <v>6.6</v>
      </c>
      <c r="BI1054" s="247">
        <v>10.199999999999999</v>
      </c>
      <c r="BJ1054" s="247">
        <v>12.4</v>
      </c>
      <c r="BK1054" s="247">
        <v>11</v>
      </c>
      <c r="BL1054" s="247">
        <v>7.3</v>
      </c>
      <c r="BM1054" s="247">
        <v>4.4000000000000004</v>
      </c>
      <c r="BN1054" s="247">
        <v>2.4</v>
      </c>
      <c r="BO1054" s="247">
        <v>1.4</v>
      </c>
      <c r="BP1054" s="248">
        <v>5.4</v>
      </c>
    </row>
    <row r="1055" spans="1:68" ht="14.25" customHeight="1">
      <c r="A1055" s="233">
        <v>398</v>
      </c>
      <c r="B1055" s="234">
        <v>44</v>
      </c>
      <c r="C1055" s="244" t="s">
        <v>928</v>
      </c>
      <c r="D1055" s="244" t="s">
        <v>1043</v>
      </c>
      <c r="E1055" s="244" t="s">
        <v>2114</v>
      </c>
      <c r="F1055" s="245">
        <v>-12</v>
      </c>
      <c r="G1055" s="245">
        <v>-11.6</v>
      </c>
      <c r="H1055" s="245">
        <v>-7.2</v>
      </c>
      <c r="I1055" s="245">
        <v>0.1</v>
      </c>
      <c r="J1055" s="245">
        <v>6.4</v>
      </c>
      <c r="K1055" s="245">
        <v>12.7</v>
      </c>
      <c r="L1055" s="245">
        <v>15.9</v>
      </c>
      <c r="M1055" s="245">
        <v>13.9</v>
      </c>
      <c r="N1055" s="245">
        <v>8.4</v>
      </c>
      <c r="O1055" s="245">
        <v>1.9</v>
      </c>
      <c r="P1055" s="245">
        <v>-3.6</v>
      </c>
      <c r="Q1055" s="245">
        <v>9</v>
      </c>
      <c r="R1055" s="246">
        <v>1.3</v>
      </c>
      <c r="S1055" s="233">
        <v>44</v>
      </c>
      <c r="T1055" s="247" t="s">
        <v>2115</v>
      </c>
      <c r="U1055" s="245">
        <v>-38</v>
      </c>
      <c r="V1055" s="245">
        <v>-36</v>
      </c>
      <c r="W1055" s="245">
        <v>-35</v>
      </c>
      <c r="X1055" s="245">
        <v>-31</v>
      </c>
      <c r="Y1055" s="245">
        <v>-17</v>
      </c>
      <c r="Z1055" s="245">
        <v>-43</v>
      </c>
      <c r="AA1055" s="245">
        <v>7.3</v>
      </c>
      <c r="AB1055" s="245">
        <v>170</v>
      </c>
      <c r="AC1055" s="245">
        <v>-7.5</v>
      </c>
      <c r="AD1055" s="245">
        <v>248</v>
      </c>
      <c r="AE1055" s="245">
        <v>-3.9</v>
      </c>
      <c r="AF1055" s="245">
        <v>269</v>
      </c>
      <c r="AG1055" s="245">
        <v>-3</v>
      </c>
      <c r="AH1055" s="245">
        <v>85</v>
      </c>
      <c r="AI1055" s="245">
        <v>84</v>
      </c>
      <c r="AJ1055" s="245">
        <v>200</v>
      </c>
      <c r="AK1055" s="245" t="s">
        <v>990</v>
      </c>
      <c r="AL1055" s="245">
        <v>4.5999999999999996</v>
      </c>
      <c r="AM1055" s="246">
        <v>3.4</v>
      </c>
      <c r="AN1055" s="235">
        <v>44</v>
      </c>
      <c r="AO1055" s="247" t="s">
        <v>2116</v>
      </c>
      <c r="AP1055" s="247">
        <v>1010</v>
      </c>
      <c r="AQ1055" s="247">
        <v>19.7</v>
      </c>
      <c r="AR1055" s="247">
        <v>24.5</v>
      </c>
      <c r="AS1055" s="247">
        <v>21.2</v>
      </c>
      <c r="AT1055" s="247">
        <v>36</v>
      </c>
      <c r="AU1055" s="247">
        <v>10.1</v>
      </c>
      <c r="AV1055" s="247">
        <v>71</v>
      </c>
      <c r="AW1055" s="247">
        <v>58</v>
      </c>
      <c r="AX1055" s="247">
        <v>408</v>
      </c>
      <c r="AY1055" s="247">
        <v>72</v>
      </c>
      <c r="AZ1055" s="247" t="s">
        <v>959</v>
      </c>
      <c r="BA1055" s="248">
        <v>2.7</v>
      </c>
      <c r="BB1055" s="235">
        <v>30</v>
      </c>
      <c r="BC1055" s="247" t="s">
        <v>2114</v>
      </c>
      <c r="BD1055" s="247">
        <v>2.5</v>
      </c>
      <c r="BE1055" s="247">
        <v>2.5</v>
      </c>
      <c r="BF1055" s="247">
        <v>3.2</v>
      </c>
      <c r="BG1055" s="247">
        <v>4.7</v>
      </c>
      <c r="BH1055" s="247">
        <v>6.6</v>
      </c>
      <c r="BI1055" s="247">
        <v>10.199999999999999</v>
      </c>
      <c r="BJ1055" s="247">
        <v>12.9</v>
      </c>
      <c r="BK1055" s="247">
        <v>12.6</v>
      </c>
      <c r="BL1055" s="247">
        <v>9.4</v>
      </c>
      <c r="BM1055" s="247">
        <v>6.3</v>
      </c>
      <c r="BN1055" s="247">
        <v>4.5</v>
      </c>
      <c r="BO1055" s="247">
        <v>3.3</v>
      </c>
      <c r="BP1055" s="248">
        <v>6.6</v>
      </c>
    </row>
    <row r="1056" spans="1:68" ht="14.25" customHeight="1">
      <c r="A1056" s="233">
        <v>399</v>
      </c>
      <c r="B1056" s="234">
        <v>248</v>
      </c>
      <c r="C1056" s="244" t="s">
        <v>928</v>
      </c>
      <c r="D1056" s="244" t="s">
        <v>2117</v>
      </c>
      <c r="E1056" s="244" t="s">
        <v>2118</v>
      </c>
      <c r="F1056" s="245">
        <v>-9.6999999999999993</v>
      </c>
      <c r="G1056" s="245">
        <v>-8.8000000000000007</v>
      </c>
      <c r="H1056" s="245">
        <v>-4</v>
      </c>
      <c r="I1056" s="245">
        <v>5.6</v>
      </c>
      <c r="J1056" s="245">
        <v>13</v>
      </c>
      <c r="K1056" s="245">
        <v>16.899999999999999</v>
      </c>
      <c r="L1056" s="245">
        <v>18.5</v>
      </c>
      <c r="M1056" s="245">
        <v>17.100000000000001</v>
      </c>
      <c r="N1056" s="245">
        <v>11.7</v>
      </c>
      <c r="O1056" s="245">
        <v>5.0999999999999996</v>
      </c>
      <c r="P1056" s="245">
        <v>-0.9</v>
      </c>
      <c r="Q1056" s="245">
        <v>-5.6</v>
      </c>
      <c r="R1056" s="246">
        <v>4.9000000000000004</v>
      </c>
      <c r="S1056" s="233">
        <v>248</v>
      </c>
      <c r="T1056" s="247" t="s">
        <v>2119</v>
      </c>
      <c r="U1056" s="245">
        <v>-35</v>
      </c>
      <c r="V1056" s="245">
        <v>-31</v>
      </c>
      <c r="W1056" s="245">
        <v>-30</v>
      </c>
      <c r="X1056" s="245">
        <v>-26</v>
      </c>
      <c r="Y1056" s="245">
        <v>-15</v>
      </c>
      <c r="Z1056" s="245">
        <v>-39</v>
      </c>
      <c r="AA1056" s="245">
        <v>6.5</v>
      </c>
      <c r="AB1056" s="245">
        <v>138</v>
      </c>
      <c r="AC1056" s="245">
        <v>-6</v>
      </c>
      <c r="AD1056" s="245">
        <v>205</v>
      </c>
      <c r="AE1056" s="245">
        <v>-2.7</v>
      </c>
      <c r="AF1056" s="245">
        <v>222</v>
      </c>
      <c r="AG1056" s="245">
        <v>-1.8</v>
      </c>
      <c r="AH1056" s="245">
        <v>86</v>
      </c>
      <c r="AI1056" s="245">
        <v>86</v>
      </c>
      <c r="AJ1056" s="245">
        <v>178</v>
      </c>
      <c r="AK1056" s="245" t="s">
        <v>971</v>
      </c>
      <c r="AL1056" s="245">
        <v>6.5</v>
      </c>
      <c r="AM1056" s="246">
        <v>4.8</v>
      </c>
      <c r="AN1056" s="235">
        <v>248</v>
      </c>
      <c r="AO1056" s="247" t="s">
        <v>2120</v>
      </c>
      <c r="AP1056" s="247">
        <v>990</v>
      </c>
      <c r="AQ1056" s="247">
        <v>21.7</v>
      </c>
      <c r="AR1056" s="247">
        <v>25.9</v>
      </c>
      <c r="AS1056" s="247">
        <v>24.1</v>
      </c>
      <c r="AT1056" s="247">
        <v>38</v>
      </c>
      <c r="AU1056" s="247">
        <v>11.1</v>
      </c>
      <c r="AV1056" s="247">
        <v>71</v>
      </c>
      <c r="AW1056" s="247">
        <v>52</v>
      </c>
      <c r="AX1056" s="247">
        <v>393</v>
      </c>
      <c r="AY1056" s="247">
        <v>71</v>
      </c>
      <c r="AZ1056" s="247" t="s">
        <v>959</v>
      </c>
      <c r="BA1056" s="248">
        <v>3.9</v>
      </c>
      <c r="BB1056" s="235">
        <v>219</v>
      </c>
      <c r="BC1056" s="247" t="s">
        <v>2118</v>
      </c>
      <c r="BD1056" s="247">
        <v>3</v>
      </c>
      <c r="BE1056" s="247">
        <v>3.1</v>
      </c>
      <c r="BF1056" s="247">
        <v>4.2</v>
      </c>
      <c r="BG1056" s="247">
        <v>7</v>
      </c>
      <c r="BH1056" s="247">
        <v>9.6</v>
      </c>
      <c r="BI1056" s="247">
        <v>13</v>
      </c>
      <c r="BJ1056" s="247">
        <v>14.9</v>
      </c>
      <c r="BK1056" s="247">
        <v>14</v>
      </c>
      <c r="BL1056" s="247">
        <v>10.5</v>
      </c>
      <c r="BM1056" s="247">
        <v>7.4</v>
      </c>
      <c r="BN1056" s="247">
        <v>5.3</v>
      </c>
      <c r="BO1056" s="247">
        <v>3.9</v>
      </c>
      <c r="BP1056" s="248">
        <v>8</v>
      </c>
    </row>
    <row r="1057" spans="1:68" ht="14.25" customHeight="1">
      <c r="A1057" s="233">
        <v>400</v>
      </c>
      <c r="B1057" s="234">
        <v>246</v>
      </c>
      <c r="C1057" s="244" t="s">
        <v>928</v>
      </c>
      <c r="D1057" s="244" t="s">
        <v>1818</v>
      </c>
      <c r="E1057" s="244" t="s">
        <v>206</v>
      </c>
      <c r="F1057" s="245">
        <v>-14.8</v>
      </c>
      <c r="G1057" s="245">
        <v>-14.2</v>
      </c>
      <c r="H1057" s="245">
        <v>-7.3</v>
      </c>
      <c r="I1057" s="245">
        <v>5.2</v>
      </c>
      <c r="J1057" s="245">
        <v>15</v>
      </c>
      <c r="K1057" s="245">
        <v>19.7</v>
      </c>
      <c r="L1057" s="245">
        <v>21.9</v>
      </c>
      <c r="M1057" s="245">
        <v>20</v>
      </c>
      <c r="N1057" s="245">
        <v>13.4</v>
      </c>
      <c r="O1057" s="245">
        <v>4.5</v>
      </c>
      <c r="P1057" s="245">
        <v>-4</v>
      </c>
      <c r="Q1057" s="245">
        <v>-11.2</v>
      </c>
      <c r="R1057" s="246">
        <v>4</v>
      </c>
      <c r="S1057" s="233">
        <v>246</v>
      </c>
      <c r="T1057" s="247" t="s">
        <v>2121</v>
      </c>
      <c r="U1057" s="245">
        <v>-37</v>
      </c>
      <c r="V1057" s="245">
        <v>-36</v>
      </c>
      <c r="W1057" s="245">
        <v>-34</v>
      </c>
      <c r="X1057" s="245">
        <v>-31</v>
      </c>
      <c r="Y1057" s="245">
        <v>-20</v>
      </c>
      <c r="Z1057" s="245">
        <v>-43</v>
      </c>
      <c r="AA1057" s="245">
        <v>8.1</v>
      </c>
      <c r="AB1057" s="245">
        <v>153</v>
      </c>
      <c r="AC1057" s="245">
        <v>-9.6</v>
      </c>
      <c r="AD1057" s="245">
        <v>202</v>
      </c>
      <c r="AE1057" s="245">
        <v>-6.3</v>
      </c>
      <c r="AF1057" s="245">
        <v>215</v>
      </c>
      <c r="AG1057" s="245">
        <v>-5.4</v>
      </c>
      <c r="AH1057" s="245">
        <v>80</v>
      </c>
      <c r="AI1057" s="245">
        <v>78</v>
      </c>
      <c r="AJ1057" s="245">
        <v>143</v>
      </c>
      <c r="AK1057" s="245" t="s">
        <v>982</v>
      </c>
      <c r="AL1057" s="245">
        <v>5.5</v>
      </c>
      <c r="AM1057" s="246">
        <v>4.5</v>
      </c>
      <c r="AN1057" s="235">
        <v>246</v>
      </c>
      <c r="AO1057" s="247" t="s">
        <v>2122</v>
      </c>
      <c r="AP1057" s="247">
        <v>1000</v>
      </c>
      <c r="AQ1057" s="247">
        <v>26.1</v>
      </c>
      <c r="AR1057" s="247">
        <v>30</v>
      </c>
      <c r="AS1057" s="247">
        <v>28.5</v>
      </c>
      <c r="AT1057" s="247">
        <v>42</v>
      </c>
      <c r="AU1057" s="247">
        <v>13.1</v>
      </c>
      <c r="AV1057" s="247">
        <v>57</v>
      </c>
      <c r="AW1057" s="247">
        <v>40</v>
      </c>
      <c r="AX1057" s="247">
        <v>250</v>
      </c>
      <c r="AY1057" s="247">
        <v>60</v>
      </c>
      <c r="AZ1057" s="247" t="s">
        <v>1005</v>
      </c>
      <c r="BA1057" s="248">
        <v>3.9</v>
      </c>
      <c r="BB1057" s="235">
        <v>217</v>
      </c>
      <c r="BC1057" s="247" t="s">
        <v>206</v>
      </c>
      <c r="BD1057" s="247">
        <v>1.9</v>
      </c>
      <c r="BE1057" s="247">
        <v>2</v>
      </c>
      <c r="BF1057" s="247">
        <v>3.4</v>
      </c>
      <c r="BG1057" s="247">
        <v>6.2</v>
      </c>
      <c r="BH1057" s="247">
        <v>8.6999999999999993</v>
      </c>
      <c r="BI1057" s="247">
        <v>12.1</v>
      </c>
      <c r="BJ1057" s="247">
        <v>14.2</v>
      </c>
      <c r="BK1057" s="247">
        <v>12.2</v>
      </c>
      <c r="BL1057" s="247">
        <v>8.9</v>
      </c>
      <c r="BM1057" s="247">
        <v>6.1</v>
      </c>
      <c r="BN1057" s="247">
        <v>4.2</v>
      </c>
      <c r="BO1057" s="247">
        <v>2.7</v>
      </c>
      <c r="BP1057" s="248">
        <v>6.9</v>
      </c>
    </row>
    <row r="1058" spans="1:68" ht="14.25" customHeight="1">
      <c r="A1058" s="233">
        <v>401</v>
      </c>
      <c r="B1058" s="234">
        <v>101</v>
      </c>
      <c r="C1058" s="244" t="s">
        <v>928</v>
      </c>
      <c r="D1058" s="244" t="s">
        <v>1001</v>
      </c>
      <c r="E1058" s="244" t="s">
        <v>2123</v>
      </c>
      <c r="F1058" s="245">
        <v>-26.7</v>
      </c>
      <c r="G1058" s="245">
        <v>-23.3</v>
      </c>
      <c r="H1058" s="245">
        <v>-13.2</v>
      </c>
      <c r="I1058" s="245">
        <v>-1.9</v>
      </c>
      <c r="J1058" s="245">
        <v>6.8</v>
      </c>
      <c r="K1058" s="245">
        <v>14.3</v>
      </c>
      <c r="L1058" s="245">
        <v>17.100000000000001</v>
      </c>
      <c r="M1058" s="245">
        <v>13.9</v>
      </c>
      <c r="N1058" s="245">
        <v>6.6</v>
      </c>
      <c r="O1058" s="245">
        <v>-2</v>
      </c>
      <c r="P1058" s="245">
        <v>-15</v>
      </c>
      <c r="Q1058" s="245">
        <v>-24.7</v>
      </c>
      <c r="R1058" s="246">
        <v>-4</v>
      </c>
      <c r="S1058" s="233">
        <v>101</v>
      </c>
      <c r="T1058" s="247" t="s">
        <v>2124</v>
      </c>
      <c r="U1058" s="245">
        <v>-50</v>
      </c>
      <c r="V1058" s="245">
        <v>-49</v>
      </c>
      <c r="W1058" s="245">
        <v>-48</v>
      </c>
      <c r="X1058" s="245">
        <v>-46</v>
      </c>
      <c r="Y1058" s="245">
        <v>-32</v>
      </c>
      <c r="Z1058" s="245">
        <v>-55</v>
      </c>
      <c r="AA1058" s="245">
        <v>11.6</v>
      </c>
      <c r="AB1058" s="245">
        <v>195</v>
      </c>
      <c r="AC1058" s="245">
        <v>-16.3</v>
      </c>
      <c r="AD1058" s="245">
        <v>253</v>
      </c>
      <c r="AE1058" s="245">
        <v>-11.6</v>
      </c>
      <c r="AF1058" s="245">
        <v>270</v>
      </c>
      <c r="AG1058" s="245">
        <v>-10.4</v>
      </c>
      <c r="AH1058" s="245">
        <v>80</v>
      </c>
      <c r="AI1058" s="245">
        <v>77</v>
      </c>
      <c r="AJ1058" s="245">
        <v>101</v>
      </c>
      <c r="AK1058" s="245" t="s">
        <v>963</v>
      </c>
      <c r="AL1058" s="245" t="s">
        <v>931</v>
      </c>
      <c r="AM1058" s="246">
        <v>1.4</v>
      </c>
      <c r="AN1058" s="235">
        <v>101</v>
      </c>
      <c r="AO1058" s="247" t="s">
        <v>2125</v>
      </c>
      <c r="AP1058" s="247">
        <v>970</v>
      </c>
      <c r="AQ1058" s="247">
        <v>22.7</v>
      </c>
      <c r="AR1058" s="247">
        <v>26.8</v>
      </c>
      <c r="AS1058" s="247">
        <v>25.1</v>
      </c>
      <c r="AT1058" s="247">
        <v>38</v>
      </c>
      <c r="AU1058" s="247">
        <v>14.5</v>
      </c>
      <c r="AV1058" s="247">
        <v>78</v>
      </c>
      <c r="AW1058" s="247">
        <v>58</v>
      </c>
      <c r="AX1058" s="247">
        <v>349</v>
      </c>
      <c r="AY1058" s="247">
        <v>50</v>
      </c>
      <c r="AZ1058" s="247" t="s">
        <v>1005</v>
      </c>
      <c r="BA1058" s="248" t="s">
        <v>934</v>
      </c>
      <c r="BB1058" s="235">
        <v>85</v>
      </c>
      <c r="BC1058" s="247" t="s">
        <v>2123</v>
      </c>
      <c r="BD1058" s="247">
        <v>0.8</v>
      </c>
      <c r="BE1058" s="247">
        <v>0.9</v>
      </c>
      <c r="BF1058" s="247">
        <v>1.8</v>
      </c>
      <c r="BG1058" s="247">
        <v>3.5</v>
      </c>
      <c r="BH1058" s="247">
        <v>6.1</v>
      </c>
      <c r="BI1058" s="247">
        <v>10.9</v>
      </c>
      <c r="BJ1058" s="247">
        <v>14.9</v>
      </c>
      <c r="BK1058" s="247">
        <v>13.2</v>
      </c>
      <c r="BL1058" s="247">
        <v>8.1</v>
      </c>
      <c r="BM1058" s="247">
        <v>4.3</v>
      </c>
      <c r="BN1058" s="247">
        <v>1.9</v>
      </c>
      <c r="BO1058" s="247">
        <v>1</v>
      </c>
      <c r="BP1058" s="248">
        <v>5.6</v>
      </c>
    </row>
    <row r="1059" spans="1:68" ht="14.25" customHeight="1">
      <c r="A1059" s="233">
        <v>402</v>
      </c>
      <c r="B1059" s="234">
        <v>121</v>
      </c>
      <c r="C1059" s="244" t="s">
        <v>928</v>
      </c>
      <c r="D1059" s="244" t="s">
        <v>1023</v>
      </c>
      <c r="E1059" s="244" t="s">
        <v>2126</v>
      </c>
      <c r="F1059" s="245">
        <v>-13.3</v>
      </c>
      <c r="G1059" s="245">
        <v>-13.9</v>
      </c>
      <c r="H1059" s="245">
        <v>-12.2</v>
      </c>
      <c r="I1059" s="245">
        <v>-6.4</v>
      </c>
      <c r="J1059" s="245">
        <v>0.6</v>
      </c>
      <c r="K1059" s="245">
        <v>6.9</v>
      </c>
      <c r="L1059" s="245">
        <v>11.8</v>
      </c>
      <c r="M1059" s="245">
        <v>12</v>
      </c>
      <c r="N1059" s="245">
        <v>7.8</v>
      </c>
      <c r="O1059" s="245">
        <v>0.1</v>
      </c>
      <c r="P1059" s="245">
        <v>-7.6</v>
      </c>
      <c r="Q1059" s="245">
        <v>-12.5</v>
      </c>
      <c r="R1059" s="246">
        <v>-2.2000000000000002</v>
      </c>
      <c r="S1059" s="233">
        <v>121</v>
      </c>
      <c r="T1059" s="247" t="s">
        <v>2127</v>
      </c>
      <c r="U1059" s="245">
        <v>-35</v>
      </c>
      <c r="V1059" s="245">
        <v>-34</v>
      </c>
      <c r="W1059" s="245">
        <v>-32</v>
      </c>
      <c r="X1059" s="245">
        <v>-31</v>
      </c>
      <c r="Y1059" s="245">
        <v>-19</v>
      </c>
      <c r="Z1059" s="245">
        <v>-41</v>
      </c>
      <c r="AA1059" s="245">
        <v>8.9</v>
      </c>
      <c r="AB1059" s="245">
        <v>209</v>
      </c>
      <c r="AC1059" s="245">
        <v>-9.5</v>
      </c>
      <c r="AD1059" s="245">
        <v>281</v>
      </c>
      <c r="AE1059" s="245">
        <v>-6</v>
      </c>
      <c r="AF1059" s="245">
        <v>308</v>
      </c>
      <c r="AG1059" s="245">
        <v>-4.7</v>
      </c>
      <c r="AH1059" s="245">
        <v>78</v>
      </c>
      <c r="AI1059" s="245">
        <v>74</v>
      </c>
      <c r="AJ1059" s="245">
        <v>401</v>
      </c>
      <c r="AK1059" s="245" t="s">
        <v>996</v>
      </c>
      <c r="AL1059" s="245" t="s">
        <v>931</v>
      </c>
      <c r="AM1059" s="246" t="s">
        <v>931</v>
      </c>
      <c r="AN1059" s="235">
        <v>121</v>
      </c>
      <c r="AO1059" s="247" t="s">
        <v>2128</v>
      </c>
      <c r="AP1059" s="247">
        <v>1010</v>
      </c>
      <c r="AQ1059" s="247">
        <v>13.3</v>
      </c>
      <c r="AR1059" s="247">
        <v>17.899999999999999</v>
      </c>
      <c r="AS1059" s="247">
        <v>15.7</v>
      </c>
      <c r="AT1059" s="247">
        <v>30</v>
      </c>
      <c r="AU1059" s="247">
        <v>7.2</v>
      </c>
      <c r="AV1059" s="247">
        <v>82</v>
      </c>
      <c r="AW1059" s="247">
        <v>74</v>
      </c>
      <c r="AX1059" s="247">
        <v>634</v>
      </c>
      <c r="AY1059" s="247" t="s">
        <v>965</v>
      </c>
      <c r="AZ1059" s="247" t="s">
        <v>978</v>
      </c>
      <c r="BA1059" s="248" t="s">
        <v>934</v>
      </c>
      <c r="BB1059" s="235">
        <v>105</v>
      </c>
      <c r="BC1059" s="247" t="s">
        <v>2126</v>
      </c>
      <c r="BD1059" s="247">
        <v>2.2000000000000002</v>
      </c>
      <c r="BE1059" s="247">
        <v>2.1</v>
      </c>
      <c r="BF1059" s="247">
        <v>2.2999999999999998</v>
      </c>
      <c r="BG1059" s="247">
        <v>3.3</v>
      </c>
      <c r="BH1059" s="247">
        <v>5.3</v>
      </c>
      <c r="BI1059" s="247">
        <v>8</v>
      </c>
      <c r="BJ1059" s="247">
        <v>11.3</v>
      </c>
      <c r="BK1059" s="247">
        <v>11.5</v>
      </c>
      <c r="BL1059" s="247">
        <v>8.4</v>
      </c>
      <c r="BM1059" s="247">
        <v>4.9000000000000004</v>
      </c>
      <c r="BN1059" s="247">
        <v>3</v>
      </c>
      <c r="BO1059" s="247">
        <v>2.2999999999999998</v>
      </c>
      <c r="BP1059" s="248">
        <v>5.4</v>
      </c>
    </row>
    <row r="1060" spans="1:68" ht="14.25" customHeight="1">
      <c r="A1060" s="233">
        <v>403</v>
      </c>
      <c r="B1060" s="234">
        <v>397</v>
      </c>
      <c r="C1060" s="244" t="s">
        <v>928</v>
      </c>
      <c r="D1060" s="244" t="s">
        <v>1011</v>
      </c>
      <c r="E1060" s="244" t="s">
        <v>2129</v>
      </c>
      <c r="F1060" s="245">
        <v>-33.6</v>
      </c>
      <c r="G1060" s="245">
        <v>-33.1</v>
      </c>
      <c r="H1060" s="245">
        <v>-26.4</v>
      </c>
      <c r="I1060" s="245">
        <v>-14.1</v>
      </c>
      <c r="J1060" s="245">
        <v>0.5</v>
      </c>
      <c r="K1060" s="245">
        <v>11.7</v>
      </c>
      <c r="L1060" s="245">
        <v>13.1</v>
      </c>
      <c r="M1060" s="245">
        <v>9.1999999999999993</v>
      </c>
      <c r="N1060" s="245">
        <v>1.8</v>
      </c>
      <c r="O1060" s="245">
        <v>-12.1</v>
      </c>
      <c r="P1060" s="245">
        <v>-26.4</v>
      </c>
      <c r="Q1060" s="245">
        <v>-32.200000000000003</v>
      </c>
      <c r="R1060" s="246">
        <v>-11.8</v>
      </c>
      <c r="S1060" s="233">
        <v>397</v>
      </c>
      <c r="T1060" s="247" t="s">
        <v>2130</v>
      </c>
      <c r="U1060" s="245">
        <v>-57</v>
      </c>
      <c r="V1060" s="245">
        <v>-53</v>
      </c>
      <c r="W1060" s="245">
        <v>-55</v>
      </c>
      <c r="X1060" s="245">
        <v>-51</v>
      </c>
      <c r="Y1060" s="245">
        <v>-39</v>
      </c>
      <c r="Z1060" s="245">
        <v>-58</v>
      </c>
      <c r="AA1060" s="245">
        <v>9.1999999999999993</v>
      </c>
      <c r="AB1060" s="245">
        <v>238</v>
      </c>
      <c r="AC1060" s="245">
        <v>-22.5</v>
      </c>
      <c r="AD1060" s="245">
        <v>288</v>
      </c>
      <c r="AE1060" s="245">
        <v>-17.8</v>
      </c>
      <c r="AF1060" s="245">
        <v>305</v>
      </c>
      <c r="AG1060" s="245">
        <v>-16.3</v>
      </c>
      <c r="AH1060" s="245">
        <v>75</v>
      </c>
      <c r="AI1060" s="245">
        <v>75</v>
      </c>
      <c r="AJ1060" s="245">
        <v>71</v>
      </c>
      <c r="AK1060" s="245" t="s">
        <v>944</v>
      </c>
      <c r="AL1060" s="245">
        <v>4.5</v>
      </c>
      <c r="AM1060" s="246">
        <v>1.8</v>
      </c>
      <c r="AN1060" s="235">
        <v>397</v>
      </c>
      <c r="AO1060" s="247" t="s">
        <v>2131</v>
      </c>
      <c r="AP1060" s="247">
        <v>1000</v>
      </c>
      <c r="AQ1060" s="247">
        <v>16.8</v>
      </c>
      <c r="AR1060" s="247">
        <v>21.2</v>
      </c>
      <c r="AS1060" s="247">
        <v>19.2</v>
      </c>
      <c r="AT1060" s="247">
        <v>34</v>
      </c>
      <c r="AU1060" s="247">
        <v>12.7</v>
      </c>
      <c r="AV1060" s="247">
        <v>65</v>
      </c>
      <c r="AW1060" s="247">
        <v>53</v>
      </c>
      <c r="AX1060" s="247">
        <v>156</v>
      </c>
      <c r="AY1060" s="247">
        <v>38</v>
      </c>
      <c r="AZ1060" s="247" t="s">
        <v>959</v>
      </c>
      <c r="BA1060" s="248">
        <v>0</v>
      </c>
      <c r="BB1060" s="235">
        <v>361</v>
      </c>
      <c r="BC1060" s="247" t="s">
        <v>2129</v>
      </c>
      <c r="BD1060" s="247">
        <v>0.5</v>
      </c>
      <c r="BE1060" s="247">
        <v>0.5</v>
      </c>
      <c r="BF1060" s="247">
        <v>0.7</v>
      </c>
      <c r="BG1060" s="247">
        <v>1.6</v>
      </c>
      <c r="BH1060" s="247">
        <v>4.0999999999999996</v>
      </c>
      <c r="BI1060" s="247">
        <v>7.6</v>
      </c>
      <c r="BJ1060" s="247">
        <v>9.6</v>
      </c>
      <c r="BK1060" s="247">
        <v>8.5</v>
      </c>
      <c r="BL1060" s="247">
        <v>5.3</v>
      </c>
      <c r="BM1060" s="247">
        <v>2.2999999999999998</v>
      </c>
      <c r="BN1060" s="247">
        <v>0.7</v>
      </c>
      <c r="BO1060" s="247">
        <v>0.5</v>
      </c>
      <c r="BP1060" s="248">
        <v>3.5</v>
      </c>
    </row>
    <row r="1061" spans="1:68" ht="14.25" customHeight="1">
      <c r="A1061" s="233">
        <v>404</v>
      </c>
      <c r="B1061" s="234">
        <v>295</v>
      </c>
      <c r="C1061" s="244" t="s">
        <v>928</v>
      </c>
      <c r="D1061" s="244" t="s">
        <v>992</v>
      </c>
      <c r="E1061" s="244" t="s">
        <v>2132</v>
      </c>
      <c r="F1061" s="245">
        <v>-19.7</v>
      </c>
      <c r="G1061" s="245">
        <v>-17.7</v>
      </c>
      <c r="H1061" s="245">
        <v>-12.5</v>
      </c>
      <c r="I1061" s="245">
        <v>-4</v>
      </c>
      <c r="J1061" s="245">
        <v>1.5</v>
      </c>
      <c r="K1061" s="245">
        <v>7.7</v>
      </c>
      <c r="L1061" s="245">
        <v>12.7</v>
      </c>
      <c r="M1061" s="245">
        <v>13.9</v>
      </c>
      <c r="N1061" s="245">
        <v>10.199999999999999</v>
      </c>
      <c r="O1061" s="245">
        <v>2.7</v>
      </c>
      <c r="P1061" s="245">
        <v>-6.3</v>
      </c>
      <c r="Q1061" s="245">
        <v>-15.1</v>
      </c>
      <c r="R1061" s="246">
        <v>-2.2000000000000002</v>
      </c>
      <c r="S1061" s="233">
        <v>295</v>
      </c>
      <c r="T1061" s="247" t="s">
        <v>2133</v>
      </c>
      <c r="U1061" s="245">
        <v>-34</v>
      </c>
      <c r="V1061" s="245">
        <v>-32</v>
      </c>
      <c r="W1061" s="245">
        <v>-31</v>
      </c>
      <c r="X1061" s="245">
        <v>-29</v>
      </c>
      <c r="Y1061" s="245">
        <v>-25</v>
      </c>
      <c r="Z1061" s="245">
        <v>-39</v>
      </c>
      <c r="AA1061" s="245">
        <v>6.8</v>
      </c>
      <c r="AB1061" s="245">
        <v>194</v>
      </c>
      <c r="AC1061" s="245">
        <v>-11.5</v>
      </c>
      <c r="AD1061" s="245">
        <v>266</v>
      </c>
      <c r="AE1061" s="245">
        <v>-7.3</v>
      </c>
      <c r="AF1061" s="245">
        <v>286</v>
      </c>
      <c r="AG1061" s="245">
        <v>-6.1</v>
      </c>
      <c r="AH1061" s="245">
        <v>81</v>
      </c>
      <c r="AI1061" s="245">
        <v>81</v>
      </c>
      <c r="AJ1061" s="245">
        <v>192</v>
      </c>
      <c r="AK1061" s="245" t="s">
        <v>944</v>
      </c>
      <c r="AL1061" s="245">
        <v>11.2</v>
      </c>
      <c r="AM1061" s="246">
        <v>5.9</v>
      </c>
      <c r="AN1061" s="235">
        <v>289</v>
      </c>
      <c r="AO1061" s="247" t="s">
        <v>2134</v>
      </c>
      <c r="AP1061" s="247">
        <v>1010</v>
      </c>
      <c r="AQ1061" s="247">
        <v>15.9</v>
      </c>
      <c r="AR1061" s="247">
        <v>20.399999999999999</v>
      </c>
      <c r="AS1061" s="247">
        <v>18.3</v>
      </c>
      <c r="AT1061" s="247">
        <v>38</v>
      </c>
      <c r="AU1061" s="247">
        <v>7.8</v>
      </c>
      <c r="AV1061" s="247">
        <v>86</v>
      </c>
      <c r="AW1061" s="247">
        <v>74</v>
      </c>
      <c r="AX1061" s="247">
        <v>426</v>
      </c>
      <c r="AY1061" s="247">
        <v>73</v>
      </c>
      <c r="AZ1061" s="247" t="s">
        <v>946</v>
      </c>
      <c r="BA1061" s="248">
        <v>4.9000000000000004</v>
      </c>
      <c r="BB1061" s="235">
        <v>260</v>
      </c>
      <c r="BC1061" s="247" t="s">
        <v>2132</v>
      </c>
      <c r="BD1061" s="247">
        <v>1.3</v>
      </c>
      <c r="BE1061" s="247">
        <v>1.4</v>
      </c>
      <c r="BF1061" s="247">
        <v>2</v>
      </c>
      <c r="BG1061" s="247">
        <v>3.9</v>
      </c>
      <c r="BH1061" s="247">
        <v>5.7</v>
      </c>
      <c r="BI1061" s="247">
        <v>8.6999999999999993</v>
      </c>
      <c r="BJ1061" s="247">
        <v>12.6</v>
      </c>
      <c r="BK1061" s="247">
        <v>13.6</v>
      </c>
      <c r="BL1061" s="247">
        <v>10.6</v>
      </c>
      <c r="BM1061" s="247">
        <v>6</v>
      </c>
      <c r="BN1061" s="247">
        <v>3.3</v>
      </c>
      <c r="BO1061" s="247">
        <v>1.9</v>
      </c>
      <c r="BP1061" s="248">
        <v>5.9</v>
      </c>
    </row>
    <row r="1062" spans="1:68" ht="14.25" customHeight="1">
      <c r="A1062" s="233">
        <v>405</v>
      </c>
      <c r="B1062" s="234">
        <v>360</v>
      </c>
      <c r="C1062" s="244" t="s">
        <v>928</v>
      </c>
      <c r="D1062" s="244" t="s">
        <v>1081</v>
      </c>
      <c r="E1062" s="244" t="s">
        <v>2135</v>
      </c>
      <c r="F1062" s="245">
        <v>-23</v>
      </c>
      <c r="G1062" s="245">
        <v>-20</v>
      </c>
      <c r="H1062" s="245">
        <v>-14.3</v>
      </c>
      <c r="I1062" s="245">
        <v>-5.8</v>
      </c>
      <c r="J1062" s="245">
        <v>1.1000000000000001</v>
      </c>
      <c r="K1062" s="245">
        <v>6.2</v>
      </c>
      <c r="L1062" s="245">
        <v>11.8</v>
      </c>
      <c r="M1062" s="245">
        <v>13</v>
      </c>
      <c r="N1062" s="245">
        <v>8.4</v>
      </c>
      <c r="O1062" s="245">
        <v>-2.2999999999999998</v>
      </c>
      <c r="P1062" s="245">
        <v>-14.1</v>
      </c>
      <c r="Q1062" s="245">
        <v>-20.5</v>
      </c>
      <c r="R1062" s="246">
        <v>-5</v>
      </c>
      <c r="S1062" s="233">
        <v>360</v>
      </c>
      <c r="T1062" s="247" t="s">
        <v>2136</v>
      </c>
      <c r="U1062" s="245">
        <v>-38</v>
      </c>
      <c r="V1062" s="245">
        <v>-36</v>
      </c>
      <c r="W1062" s="245">
        <v>-35</v>
      </c>
      <c r="X1062" s="245">
        <v>-33</v>
      </c>
      <c r="Y1062" s="245">
        <v>-27</v>
      </c>
      <c r="Z1062" s="245">
        <v>-45</v>
      </c>
      <c r="AA1062" s="245">
        <v>6.3</v>
      </c>
      <c r="AB1062" s="245">
        <v>213</v>
      </c>
      <c r="AC1062" s="245">
        <v>-13.7</v>
      </c>
      <c r="AD1062" s="245">
        <v>280</v>
      </c>
      <c r="AE1062" s="245">
        <v>-9.5</v>
      </c>
      <c r="AF1062" s="245">
        <v>304</v>
      </c>
      <c r="AG1062" s="245">
        <v>-8.1</v>
      </c>
      <c r="AH1062" s="245">
        <v>64</v>
      </c>
      <c r="AI1062" s="245">
        <v>62</v>
      </c>
      <c r="AJ1062" s="245">
        <v>72</v>
      </c>
      <c r="AK1062" s="245" t="s">
        <v>996</v>
      </c>
      <c r="AL1062" s="245" t="s">
        <v>931</v>
      </c>
      <c r="AM1062" s="246">
        <v>4.2</v>
      </c>
      <c r="AN1062" s="235">
        <v>360</v>
      </c>
      <c r="AO1062" s="247" t="s">
        <v>2137</v>
      </c>
      <c r="AP1062" s="247">
        <v>1010</v>
      </c>
      <c r="AQ1062" s="247">
        <v>13.8</v>
      </c>
      <c r="AR1062" s="247">
        <v>16.399999999999999</v>
      </c>
      <c r="AS1062" s="247">
        <v>16.399999999999999</v>
      </c>
      <c r="AT1062" s="247">
        <v>32</v>
      </c>
      <c r="AU1062" s="247">
        <v>6.5</v>
      </c>
      <c r="AV1062" s="247">
        <v>89</v>
      </c>
      <c r="AW1062" s="247">
        <v>80</v>
      </c>
      <c r="AX1062" s="247">
        <v>395</v>
      </c>
      <c r="AY1062" s="247">
        <v>80</v>
      </c>
      <c r="AZ1062" s="247" t="s">
        <v>946</v>
      </c>
      <c r="BA1062" s="248" t="s">
        <v>934</v>
      </c>
      <c r="BB1062" s="235">
        <v>325</v>
      </c>
      <c r="BC1062" s="247" t="s">
        <v>2135</v>
      </c>
      <c r="BD1062" s="247">
        <v>0.8</v>
      </c>
      <c r="BE1062" s="247">
        <v>1</v>
      </c>
      <c r="BF1062" s="247">
        <v>1.6</v>
      </c>
      <c r="BG1062" s="247">
        <v>3.2</v>
      </c>
      <c r="BH1062" s="247">
        <v>5.6</v>
      </c>
      <c r="BI1062" s="247">
        <v>8.6</v>
      </c>
      <c r="BJ1062" s="247">
        <v>12.3</v>
      </c>
      <c r="BK1062" s="247">
        <v>13</v>
      </c>
      <c r="BL1062" s="247">
        <v>9.1</v>
      </c>
      <c r="BM1062" s="247">
        <v>3.7</v>
      </c>
      <c r="BN1062" s="247">
        <v>1.4</v>
      </c>
      <c r="BO1062" s="247">
        <v>1</v>
      </c>
      <c r="BP1062" s="248">
        <v>5.0999999999999996</v>
      </c>
    </row>
    <row r="1063" spans="1:68" ht="14.25" customHeight="1">
      <c r="A1063" s="233">
        <v>406</v>
      </c>
      <c r="B1063" s="234">
        <v>429</v>
      </c>
      <c r="C1063" s="244" t="s">
        <v>928</v>
      </c>
      <c r="D1063" s="244" t="s">
        <v>969</v>
      </c>
      <c r="E1063" s="244" t="s">
        <v>2138</v>
      </c>
      <c r="F1063" s="245">
        <v>-44.2</v>
      </c>
      <c r="G1063" s="245">
        <v>-39.4</v>
      </c>
      <c r="H1063" s="245">
        <v>-24.7</v>
      </c>
      <c r="I1063" s="245">
        <v>-7.8</v>
      </c>
      <c r="J1063" s="245">
        <v>5.7</v>
      </c>
      <c r="K1063" s="245">
        <v>14.2</v>
      </c>
      <c r="L1063" s="245">
        <v>17.399999999999999</v>
      </c>
      <c r="M1063" s="245">
        <v>14</v>
      </c>
      <c r="N1063" s="245">
        <v>5.5</v>
      </c>
      <c r="O1063" s="245">
        <v>-8.6999999999999993</v>
      </c>
      <c r="P1063" s="245">
        <v>-30.3</v>
      </c>
      <c r="Q1063" s="245">
        <v>-41.1</v>
      </c>
      <c r="R1063" s="246">
        <v>-11.6</v>
      </c>
      <c r="S1063" s="233">
        <v>429</v>
      </c>
      <c r="T1063" s="247" t="s">
        <v>2138</v>
      </c>
      <c r="U1063" s="245">
        <v>-58</v>
      </c>
      <c r="V1063" s="245">
        <v>-57</v>
      </c>
      <c r="W1063" s="245">
        <v>-56</v>
      </c>
      <c r="X1063" s="245">
        <v>-55</v>
      </c>
      <c r="Y1063" s="245">
        <v>-49</v>
      </c>
      <c r="Z1063" s="245">
        <v>-60</v>
      </c>
      <c r="AA1063" s="245">
        <v>7.9</v>
      </c>
      <c r="AB1063" s="245">
        <v>218</v>
      </c>
      <c r="AC1063" s="245">
        <v>-26.7</v>
      </c>
      <c r="AD1063" s="245">
        <v>260</v>
      </c>
      <c r="AE1063" s="245">
        <v>-21.7</v>
      </c>
      <c r="AF1063" s="245">
        <v>274</v>
      </c>
      <c r="AG1063" s="245">
        <v>-20.100000000000001</v>
      </c>
      <c r="AH1063" s="245">
        <v>74</v>
      </c>
      <c r="AI1063" s="245">
        <v>74</v>
      </c>
      <c r="AJ1063" s="245">
        <v>54</v>
      </c>
      <c r="AK1063" s="245" t="s">
        <v>963</v>
      </c>
      <c r="AL1063" s="245">
        <v>1.8</v>
      </c>
      <c r="AM1063" s="246">
        <v>1.1000000000000001</v>
      </c>
      <c r="AN1063" s="235">
        <v>429</v>
      </c>
      <c r="AO1063" s="247" t="s">
        <v>2139</v>
      </c>
      <c r="AP1063" s="247">
        <v>990</v>
      </c>
      <c r="AQ1063" s="247">
        <v>21.8</v>
      </c>
      <c r="AR1063" s="247">
        <v>26</v>
      </c>
      <c r="AS1063" s="247">
        <v>24.2</v>
      </c>
      <c r="AT1063" s="247">
        <v>37</v>
      </c>
      <c r="AU1063" s="247">
        <v>14.3</v>
      </c>
      <c r="AV1063" s="247">
        <v>71</v>
      </c>
      <c r="AW1063" s="247">
        <v>54</v>
      </c>
      <c r="AX1063" s="247">
        <v>275</v>
      </c>
      <c r="AY1063" s="247">
        <v>45</v>
      </c>
      <c r="AZ1063" s="247" t="s">
        <v>973</v>
      </c>
      <c r="BA1063" s="248">
        <v>0</v>
      </c>
      <c r="BB1063" s="235">
        <v>392</v>
      </c>
      <c r="BC1063" s="247" t="s">
        <v>2138</v>
      </c>
      <c r="BD1063" s="247">
        <v>0.1</v>
      </c>
      <c r="BE1063" s="247">
        <v>0.2</v>
      </c>
      <c r="BF1063" s="247">
        <v>0.8</v>
      </c>
      <c r="BG1063" s="247">
        <v>2.4</v>
      </c>
      <c r="BH1063" s="247">
        <v>5.0999999999999996</v>
      </c>
      <c r="BI1063" s="247">
        <v>10.199999999999999</v>
      </c>
      <c r="BJ1063" s="247">
        <v>13.7</v>
      </c>
      <c r="BK1063" s="247">
        <v>12.2</v>
      </c>
      <c r="BL1063" s="247">
        <v>7.1</v>
      </c>
      <c r="BM1063" s="247">
        <v>3</v>
      </c>
      <c r="BN1063" s="247">
        <v>0.6</v>
      </c>
      <c r="BO1063" s="247">
        <v>0.2</v>
      </c>
      <c r="BP1063" s="248">
        <v>4.5999999999999996</v>
      </c>
    </row>
    <row r="1064" spans="1:68" ht="14.25" customHeight="1">
      <c r="A1064" s="233">
        <v>407</v>
      </c>
      <c r="B1064" s="234">
        <v>545</v>
      </c>
      <c r="C1064" s="244" t="s">
        <v>1180</v>
      </c>
      <c r="D1064" s="244" t="s">
        <v>1403</v>
      </c>
      <c r="E1064" s="244" t="s">
        <v>2140</v>
      </c>
      <c r="F1064" s="245">
        <v>-3.5</v>
      </c>
      <c r="G1064" s="245">
        <v>-0.9</v>
      </c>
      <c r="H1064" s="245">
        <v>5.7</v>
      </c>
      <c r="I1064" s="245">
        <v>12.8</v>
      </c>
      <c r="J1064" s="245">
        <v>18</v>
      </c>
      <c r="K1064" s="245">
        <v>22.3</v>
      </c>
      <c r="L1064" s="245">
        <v>24.7</v>
      </c>
      <c r="M1064" s="245">
        <v>23.1</v>
      </c>
      <c r="N1064" s="245">
        <v>18.100000000000001</v>
      </c>
      <c r="O1064" s="245">
        <v>11.2</v>
      </c>
      <c r="P1064" s="245">
        <v>4.3</v>
      </c>
      <c r="Q1064" s="245">
        <v>-0.7</v>
      </c>
      <c r="R1064" s="246">
        <v>11.2</v>
      </c>
      <c r="S1064" s="233">
        <v>545</v>
      </c>
      <c r="T1064" s="247" t="s">
        <v>2140</v>
      </c>
      <c r="U1064" s="245">
        <v>-20</v>
      </c>
      <c r="V1064" s="245">
        <v>-17</v>
      </c>
      <c r="W1064" s="245">
        <v>-16</v>
      </c>
      <c r="X1064" s="245">
        <v>-13</v>
      </c>
      <c r="Y1064" s="245" t="s">
        <v>956</v>
      </c>
      <c r="Z1064" s="245" t="s">
        <v>931</v>
      </c>
      <c r="AA1064" s="245">
        <v>9.9</v>
      </c>
      <c r="AB1064" s="245" t="s">
        <v>1018</v>
      </c>
      <c r="AC1064" s="245" t="s">
        <v>958</v>
      </c>
      <c r="AD1064" s="245" t="s">
        <v>1018</v>
      </c>
      <c r="AE1064" s="245" t="s">
        <v>931</v>
      </c>
      <c r="AF1064" s="245" t="s">
        <v>933</v>
      </c>
      <c r="AG1064" s="245" t="s">
        <v>931</v>
      </c>
      <c r="AH1064" s="245" t="s">
        <v>956</v>
      </c>
      <c r="AI1064" s="245">
        <v>57</v>
      </c>
      <c r="AJ1064" s="245">
        <v>205</v>
      </c>
      <c r="AK1064" s="245" t="s">
        <v>950</v>
      </c>
      <c r="AL1064" s="245">
        <v>1.8</v>
      </c>
      <c r="AM1064" s="246" t="s">
        <v>931</v>
      </c>
      <c r="AN1064" s="235">
        <v>545</v>
      </c>
      <c r="AO1064" s="247" t="s">
        <v>2141</v>
      </c>
      <c r="AP1064" s="247" t="s">
        <v>965</v>
      </c>
      <c r="AQ1064" s="247" t="s">
        <v>958</v>
      </c>
      <c r="AR1064" s="247" t="s">
        <v>931</v>
      </c>
      <c r="AS1064" s="247" t="s">
        <v>958</v>
      </c>
      <c r="AT1064" s="247">
        <v>39</v>
      </c>
      <c r="AU1064" s="247" t="s">
        <v>934</v>
      </c>
      <c r="AV1064" s="247">
        <v>44</v>
      </c>
      <c r="AW1064" s="247">
        <v>29</v>
      </c>
      <c r="AX1064" s="247">
        <v>191</v>
      </c>
      <c r="AY1064" s="247">
        <v>63</v>
      </c>
      <c r="AZ1064" s="247" t="s">
        <v>952</v>
      </c>
      <c r="BA1064" s="248">
        <v>1.7</v>
      </c>
      <c r="BB1064" s="235"/>
      <c r="BC1064" s="247" t="s">
        <v>2140</v>
      </c>
      <c r="BD1064" s="247"/>
      <c r="BE1064" s="247"/>
      <c r="BF1064" s="247"/>
      <c r="BG1064" s="247"/>
      <c r="BH1064" s="247"/>
      <c r="BI1064" s="247"/>
      <c r="BJ1064" s="247"/>
      <c r="BK1064" s="247"/>
      <c r="BL1064" s="247"/>
      <c r="BM1064" s="247"/>
      <c r="BN1064" s="247"/>
      <c r="BO1064" s="247"/>
      <c r="BP1064" s="248"/>
    </row>
    <row r="1065" spans="1:68" ht="14.25" customHeight="1">
      <c r="A1065" s="233">
        <v>408</v>
      </c>
      <c r="B1065" s="234">
        <v>527</v>
      </c>
      <c r="C1065" s="244" t="s">
        <v>960</v>
      </c>
      <c r="D1065" s="244" t="s">
        <v>1136</v>
      </c>
      <c r="E1065" s="244" t="s">
        <v>2142</v>
      </c>
      <c r="F1065" s="245">
        <v>-17.600000000000001</v>
      </c>
      <c r="G1065" s="245">
        <v>-17.3</v>
      </c>
      <c r="H1065" s="245">
        <v>-9.4</v>
      </c>
      <c r="I1065" s="245">
        <v>4.2</v>
      </c>
      <c r="J1065" s="245">
        <v>13.2</v>
      </c>
      <c r="K1065" s="245">
        <v>19.5</v>
      </c>
      <c r="L1065" s="245">
        <v>21.4</v>
      </c>
      <c r="M1065" s="245">
        <v>18.5</v>
      </c>
      <c r="N1065" s="245">
        <v>12.3</v>
      </c>
      <c r="O1065" s="245">
        <v>3.5</v>
      </c>
      <c r="P1065" s="245">
        <v>-7</v>
      </c>
      <c r="Q1065" s="245">
        <v>-14.4</v>
      </c>
      <c r="R1065" s="246">
        <v>2.2000000000000002</v>
      </c>
      <c r="S1065" s="233">
        <v>527</v>
      </c>
      <c r="T1065" s="247" t="s">
        <v>2142</v>
      </c>
      <c r="U1065" s="245">
        <v>-40</v>
      </c>
      <c r="V1065" s="245">
        <v>-39</v>
      </c>
      <c r="W1065" s="245">
        <v>-38</v>
      </c>
      <c r="X1065" s="245">
        <v>-35</v>
      </c>
      <c r="Y1065" s="245" t="s">
        <v>956</v>
      </c>
      <c r="Z1065" s="245">
        <v>-47</v>
      </c>
      <c r="AA1065" s="245">
        <v>9.8000000000000007</v>
      </c>
      <c r="AB1065" s="245">
        <v>161</v>
      </c>
      <c r="AC1065" s="245">
        <v>-12.3</v>
      </c>
      <c r="AD1065" s="245">
        <v>206</v>
      </c>
      <c r="AE1065" s="245">
        <v>-8.6999999999999993</v>
      </c>
      <c r="AF1065" s="245">
        <v>220</v>
      </c>
      <c r="AG1065" s="245">
        <v>-7.6</v>
      </c>
      <c r="AH1065" s="245">
        <v>79</v>
      </c>
      <c r="AI1065" s="245" t="s">
        <v>956</v>
      </c>
      <c r="AJ1065" s="245">
        <v>86</v>
      </c>
      <c r="AK1065" s="245" t="s">
        <v>963</v>
      </c>
      <c r="AL1065" s="245">
        <v>5.9</v>
      </c>
      <c r="AM1065" s="246">
        <v>4.8</v>
      </c>
      <c r="AN1065" s="235">
        <v>527</v>
      </c>
      <c r="AO1065" s="247" t="s">
        <v>2143</v>
      </c>
      <c r="AP1065" s="247" t="s">
        <v>965</v>
      </c>
      <c r="AQ1065" s="247" t="s">
        <v>958</v>
      </c>
      <c r="AR1065" s="247" t="s">
        <v>931</v>
      </c>
      <c r="AS1065" s="247">
        <v>27.7</v>
      </c>
      <c r="AT1065" s="247">
        <v>41</v>
      </c>
      <c r="AU1065" s="247">
        <v>13.1</v>
      </c>
      <c r="AV1065" s="247">
        <v>58</v>
      </c>
      <c r="AW1065" s="247" t="s">
        <v>931</v>
      </c>
      <c r="AX1065" s="247">
        <v>192</v>
      </c>
      <c r="AY1065" s="247" t="s">
        <v>965</v>
      </c>
      <c r="AZ1065" s="247" t="s">
        <v>1005</v>
      </c>
      <c r="BA1065" s="248">
        <v>4.4000000000000004</v>
      </c>
      <c r="BB1065" s="235"/>
      <c r="BC1065" s="247" t="s">
        <v>2142</v>
      </c>
      <c r="BD1065" s="247"/>
      <c r="BE1065" s="247"/>
      <c r="BF1065" s="247"/>
      <c r="BG1065" s="247"/>
      <c r="BH1065" s="247"/>
      <c r="BI1065" s="247"/>
      <c r="BJ1065" s="247"/>
      <c r="BK1065" s="247"/>
      <c r="BL1065" s="247"/>
      <c r="BM1065" s="247"/>
      <c r="BN1065" s="247"/>
      <c r="BO1065" s="247"/>
      <c r="BP1065" s="248"/>
    </row>
    <row r="1066" spans="1:68" ht="14.25" customHeight="1">
      <c r="A1066" s="233">
        <v>409</v>
      </c>
      <c r="B1066" s="234">
        <v>135</v>
      </c>
      <c r="C1066" s="244" t="s">
        <v>928</v>
      </c>
      <c r="D1066" s="244" t="s">
        <v>1680</v>
      </c>
      <c r="E1066" s="244" t="s">
        <v>2144</v>
      </c>
      <c r="F1066" s="245">
        <v>-11</v>
      </c>
      <c r="G1066" s="245">
        <v>-11.2</v>
      </c>
      <c r="H1066" s="245">
        <v>-7.1</v>
      </c>
      <c r="I1066" s="245">
        <v>-0.1</v>
      </c>
      <c r="J1066" s="245">
        <v>5.8</v>
      </c>
      <c r="K1066" s="245">
        <v>12.2</v>
      </c>
      <c r="L1066" s="245">
        <v>15.5</v>
      </c>
      <c r="M1066" s="245">
        <v>13.5</v>
      </c>
      <c r="N1066" s="245">
        <v>8.4</v>
      </c>
      <c r="O1066" s="245">
        <v>2.4</v>
      </c>
      <c r="P1066" s="245">
        <v>-3.1</v>
      </c>
      <c r="Q1066" s="245">
        <v>-8</v>
      </c>
      <c r="R1066" s="246">
        <v>1.4</v>
      </c>
      <c r="S1066" s="233">
        <v>135</v>
      </c>
      <c r="T1066" s="247" t="s">
        <v>2145</v>
      </c>
      <c r="U1066" s="245">
        <v>-35</v>
      </c>
      <c r="V1066" s="245">
        <v>-34</v>
      </c>
      <c r="W1066" s="245">
        <v>-30</v>
      </c>
      <c r="X1066" s="245">
        <v>-29</v>
      </c>
      <c r="Y1066" s="245">
        <v>-16</v>
      </c>
      <c r="Z1066" s="245">
        <v>-46</v>
      </c>
      <c r="AA1066" s="245">
        <v>7.1</v>
      </c>
      <c r="AB1066" s="245">
        <v>169</v>
      </c>
      <c r="AC1066" s="245">
        <v>-7.1</v>
      </c>
      <c r="AD1066" s="245">
        <v>251</v>
      </c>
      <c r="AE1066" s="245">
        <v>-3.5</v>
      </c>
      <c r="AF1066" s="245">
        <v>272</v>
      </c>
      <c r="AG1066" s="245">
        <v>-2.5</v>
      </c>
      <c r="AH1066" s="245">
        <v>86</v>
      </c>
      <c r="AI1066" s="245">
        <v>86</v>
      </c>
      <c r="AJ1066" s="245">
        <v>126</v>
      </c>
      <c r="AK1066" s="245" t="s">
        <v>950</v>
      </c>
      <c r="AL1066" s="245">
        <v>4.5999999999999996</v>
      </c>
      <c r="AM1066" s="246">
        <v>3.8</v>
      </c>
      <c r="AN1066" s="235">
        <v>135</v>
      </c>
      <c r="AO1066" s="247" t="s">
        <v>2146</v>
      </c>
      <c r="AP1066" s="247">
        <v>995</v>
      </c>
      <c r="AQ1066" s="247">
        <v>17.600000000000001</v>
      </c>
      <c r="AR1066" s="247">
        <v>22</v>
      </c>
      <c r="AS1066" s="247">
        <v>20</v>
      </c>
      <c r="AT1066" s="247">
        <v>32</v>
      </c>
      <c r="AU1066" s="247">
        <v>8.6</v>
      </c>
      <c r="AV1066" s="247">
        <v>74</v>
      </c>
      <c r="AW1066" s="247">
        <v>67</v>
      </c>
      <c r="AX1066" s="247">
        <v>365</v>
      </c>
      <c r="AY1066" s="247">
        <v>80</v>
      </c>
      <c r="AZ1066" s="247" t="s">
        <v>952</v>
      </c>
      <c r="BA1066" s="248">
        <v>3.2</v>
      </c>
      <c r="BB1066" s="235">
        <v>118</v>
      </c>
      <c r="BC1066" s="247" t="s">
        <v>2144</v>
      </c>
      <c r="BD1066" s="247">
        <v>2.6</v>
      </c>
      <c r="BE1066" s="247">
        <v>2.6</v>
      </c>
      <c r="BF1066" s="247">
        <v>3.2</v>
      </c>
      <c r="BG1066" s="247">
        <v>4.5</v>
      </c>
      <c r="BH1066" s="247">
        <v>6.4</v>
      </c>
      <c r="BI1066" s="247">
        <v>10.1</v>
      </c>
      <c r="BJ1066" s="247">
        <v>13</v>
      </c>
      <c r="BK1066" s="247">
        <v>12.6</v>
      </c>
      <c r="BL1066" s="247">
        <v>9.4</v>
      </c>
      <c r="BM1066" s="247">
        <v>6.5</v>
      </c>
      <c r="BN1066" s="247">
        <v>4.7</v>
      </c>
      <c r="BO1066" s="247">
        <v>3.4</v>
      </c>
      <c r="BP1066" s="248">
        <v>6.5</v>
      </c>
    </row>
    <row r="1067" spans="1:68" ht="14.25" customHeight="1">
      <c r="A1067" s="233">
        <v>410</v>
      </c>
      <c r="B1067" s="234">
        <v>205</v>
      </c>
      <c r="C1067" s="244" t="s">
        <v>928</v>
      </c>
      <c r="D1067" s="244" t="s">
        <v>1039</v>
      </c>
      <c r="E1067" s="244" t="s">
        <v>2147</v>
      </c>
      <c r="F1067" s="245">
        <v>-22.1</v>
      </c>
      <c r="G1067" s="245">
        <v>-20.2</v>
      </c>
      <c r="H1067" s="245">
        <v>-16.3</v>
      </c>
      <c r="I1067" s="245">
        <v>-7.7</v>
      </c>
      <c r="J1067" s="245">
        <v>2.2999999999999998</v>
      </c>
      <c r="K1067" s="245">
        <v>9.4</v>
      </c>
      <c r="L1067" s="245">
        <v>12.8</v>
      </c>
      <c r="M1067" s="245">
        <v>11.6</v>
      </c>
      <c r="N1067" s="245">
        <v>5.2</v>
      </c>
      <c r="O1067" s="245">
        <v>-6.7</v>
      </c>
      <c r="P1067" s="245">
        <v>-16.7</v>
      </c>
      <c r="Q1067" s="245">
        <v>-20.3</v>
      </c>
      <c r="R1067" s="246">
        <v>-5.7</v>
      </c>
      <c r="S1067" s="233">
        <v>205</v>
      </c>
      <c r="T1067" s="247" t="s">
        <v>2148</v>
      </c>
      <c r="U1067" s="245">
        <v>-46</v>
      </c>
      <c r="V1067" s="245">
        <v>-41</v>
      </c>
      <c r="W1067" s="245">
        <v>-44</v>
      </c>
      <c r="X1067" s="245">
        <v>-38</v>
      </c>
      <c r="Y1067" s="245">
        <v>-27</v>
      </c>
      <c r="Z1067" s="245">
        <v>-44</v>
      </c>
      <c r="AA1067" s="245">
        <v>9.1</v>
      </c>
      <c r="AB1067" s="245">
        <v>222</v>
      </c>
      <c r="AC1067" s="245">
        <v>-14.6</v>
      </c>
      <c r="AD1067" s="245">
        <v>280</v>
      </c>
      <c r="AE1067" s="245">
        <v>-10.7</v>
      </c>
      <c r="AF1067" s="245">
        <v>301</v>
      </c>
      <c r="AG1067" s="245">
        <v>-9.3000000000000007</v>
      </c>
      <c r="AH1067" s="245">
        <v>69</v>
      </c>
      <c r="AI1067" s="245">
        <v>69</v>
      </c>
      <c r="AJ1067" s="245">
        <v>77</v>
      </c>
      <c r="AK1067" s="245" t="s">
        <v>982</v>
      </c>
      <c r="AL1067" s="245">
        <v>7.6</v>
      </c>
      <c r="AM1067" s="246">
        <v>3</v>
      </c>
      <c r="AN1067" s="235">
        <v>205</v>
      </c>
      <c r="AO1067" s="247" t="s">
        <v>2149</v>
      </c>
      <c r="AP1067" s="247">
        <v>975</v>
      </c>
      <c r="AQ1067" s="247">
        <v>17</v>
      </c>
      <c r="AR1067" s="247">
        <v>21.4</v>
      </c>
      <c r="AS1067" s="247">
        <v>19.399999999999999</v>
      </c>
      <c r="AT1067" s="247">
        <v>31</v>
      </c>
      <c r="AU1067" s="247">
        <v>13.1</v>
      </c>
      <c r="AV1067" s="247">
        <v>75</v>
      </c>
      <c r="AW1067" s="247">
        <v>58</v>
      </c>
      <c r="AX1067" s="247">
        <v>324</v>
      </c>
      <c r="AY1067" s="247">
        <v>57</v>
      </c>
      <c r="AZ1067" s="247" t="s">
        <v>952</v>
      </c>
      <c r="BA1067" s="248">
        <v>0</v>
      </c>
      <c r="BB1067" s="235">
        <v>180</v>
      </c>
      <c r="BC1067" s="247" t="s">
        <v>2147</v>
      </c>
      <c r="BD1067" s="247">
        <v>0.9</v>
      </c>
      <c r="BE1067" s="247">
        <v>1</v>
      </c>
      <c r="BF1067" s="247">
        <v>1.2</v>
      </c>
      <c r="BG1067" s="247">
        <v>2.4</v>
      </c>
      <c r="BH1067" s="247">
        <v>4.7</v>
      </c>
      <c r="BI1067" s="247">
        <v>8</v>
      </c>
      <c r="BJ1067" s="247">
        <v>10.8</v>
      </c>
      <c r="BK1067" s="247">
        <v>10.199999999999999</v>
      </c>
      <c r="BL1067" s="247">
        <v>6.7</v>
      </c>
      <c r="BM1067" s="247">
        <v>2.9</v>
      </c>
      <c r="BN1067" s="247">
        <v>1.4</v>
      </c>
      <c r="BO1067" s="247">
        <v>1.1000000000000001</v>
      </c>
      <c r="BP1067" s="248">
        <v>4.3</v>
      </c>
    </row>
    <row r="1068" spans="1:68" ht="14.25" customHeight="1">
      <c r="A1068" s="233">
        <v>411</v>
      </c>
      <c r="B1068" s="234">
        <v>265</v>
      </c>
      <c r="C1068" s="244" t="s">
        <v>928</v>
      </c>
      <c r="D1068" s="244" t="s">
        <v>941</v>
      </c>
      <c r="E1068" s="244" t="s">
        <v>2150</v>
      </c>
      <c r="F1068" s="245">
        <v>-13.4</v>
      </c>
      <c r="G1068" s="245">
        <v>-10.3</v>
      </c>
      <c r="H1068" s="245">
        <v>-3.1</v>
      </c>
      <c r="I1068" s="245">
        <v>5.0999999999999996</v>
      </c>
      <c r="J1068" s="245">
        <v>11.3</v>
      </c>
      <c r="K1068" s="245">
        <v>15.1</v>
      </c>
      <c r="L1068" s="245">
        <v>19.399999999999999</v>
      </c>
      <c r="M1068" s="245">
        <v>20.100000000000001</v>
      </c>
      <c r="N1068" s="245">
        <v>14.6</v>
      </c>
      <c r="O1068" s="245">
        <v>7.5</v>
      </c>
      <c r="P1068" s="245">
        <v>-2.2000000000000002</v>
      </c>
      <c r="Q1068" s="245">
        <v>-10.7</v>
      </c>
      <c r="R1068" s="246">
        <v>4.5</v>
      </c>
      <c r="S1068" s="233">
        <v>265</v>
      </c>
      <c r="T1068" s="247" t="s">
        <v>2151</v>
      </c>
      <c r="U1068" s="245">
        <v>-26</v>
      </c>
      <c r="V1068" s="245">
        <v>-24</v>
      </c>
      <c r="W1068" s="245">
        <v>-23</v>
      </c>
      <c r="X1068" s="245">
        <v>-22</v>
      </c>
      <c r="Y1068" s="245">
        <v>-18</v>
      </c>
      <c r="Z1068" s="245">
        <v>-30</v>
      </c>
      <c r="AA1068" s="245">
        <v>9.9</v>
      </c>
      <c r="AB1068" s="245">
        <v>139</v>
      </c>
      <c r="AC1068" s="245">
        <v>-8.1999999999999993</v>
      </c>
      <c r="AD1068" s="245">
        <v>198</v>
      </c>
      <c r="AE1068" s="245">
        <v>-4.5</v>
      </c>
      <c r="AF1068" s="245">
        <v>216</v>
      </c>
      <c r="AG1068" s="245">
        <v>-3.4</v>
      </c>
      <c r="AH1068" s="245">
        <v>54</v>
      </c>
      <c r="AI1068" s="245">
        <v>47</v>
      </c>
      <c r="AJ1068" s="245">
        <v>128</v>
      </c>
      <c r="AK1068" s="245" t="s">
        <v>996</v>
      </c>
      <c r="AL1068" s="245">
        <v>8.4</v>
      </c>
      <c r="AM1068" s="246">
        <v>5</v>
      </c>
      <c r="AN1068" s="235">
        <v>265</v>
      </c>
      <c r="AO1068" s="247" t="s">
        <v>2152</v>
      </c>
      <c r="AP1068" s="247">
        <v>990</v>
      </c>
      <c r="AQ1068" s="247">
        <v>23</v>
      </c>
      <c r="AR1068" s="247">
        <v>27.1</v>
      </c>
      <c r="AS1068" s="247">
        <v>25.4</v>
      </c>
      <c r="AT1068" s="247">
        <v>37</v>
      </c>
      <c r="AU1068" s="247">
        <v>9.1999999999999993</v>
      </c>
      <c r="AV1068" s="247">
        <v>83</v>
      </c>
      <c r="AW1068" s="247">
        <v>67</v>
      </c>
      <c r="AX1068" s="247">
        <v>666</v>
      </c>
      <c r="AY1068" s="247">
        <v>145</v>
      </c>
      <c r="AZ1068" s="247" t="s">
        <v>973</v>
      </c>
      <c r="BA1068" s="248">
        <v>0</v>
      </c>
      <c r="BB1068" s="235">
        <v>236</v>
      </c>
      <c r="BC1068" s="247" t="s">
        <v>2150</v>
      </c>
      <c r="BD1068" s="247">
        <v>1.3</v>
      </c>
      <c r="BE1068" s="247">
        <v>1.7</v>
      </c>
      <c r="BF1068" s="247">
        <v>2.8</v>
      </c>
      <c r="BG1068" s="247">
        <v>5</v>
      </c>
      <c r="BH1068" s="247">
        <v>8.1999999999999993</v>
      </c>
      <c r="BI1068" s="247">
        <v>13.4</v>
      </c>
      <c r="BJ1068" s="247">
        <v>18.7</v>
      </c>
      <c r="BK1068" s="247">
        <v>19.2</v>
      </c>
      <c r="BL1068" s="247">
        <v>12.5</v>
      </c>
      <c r="BM1068" s="247">
        <v>6.8</v>
      </c>
      <c r="BN1068" s="247">
        <v>3.3</v>
      </c>
      <c r="BO1068" s="247">
        <v>1.8</v>
      </c>
      <c r="BP1068" s="248">
        <v>7.9</v>
      </c>
    </row>
    <row r="1069" spans="1:68" ht="14.25" customHeight="1">
      <c r="A1069" s="233">
        <v>412</v>
      </c>
      <c r="B1069" s="234">
        <v>576</v>
      </c>
      <c r="C1069" s="244" t="s">
        <v>1353</v>
      </c>
      <c r="D1069" s="244" t="s">
        <v>1589</v>
      </c>
      <c r="E1069" s="244" t="s">
        <v>2153</v>
      </c>
      <c r="F1069" s="245">
        <v>-0.4</v>
      </c>
      <c r="G1069" s="245">
        <v>1.5</v>
      </c>
      <c r="H1069" s="245">
        <v>6.6</v>
      </c>
      <c r="I1069" s="245">
        <v>12.9</v>
      </c>
      <c r="J1069" s="245">
        <v>17.7</v>
      </c>
      <c r="K1069" s="245">
        <v>22.6</v>
      </c>
      <c r="L1069" s="245">
        <v>25.1</v>
      </c>
      <c r="M1069" s="245">
        <v>23.5</v>
      </c>
      <c r="N1069" s="245">
        <v>18.600000000000001</v>
      </c>
      <c r="O1069" s="245">
        <v>12.4</v>
      </c>
      <c r="P1069" s="245">
        <v>6.1</v>
      </c>
      <c r="Q1069" s="245">
        <v>1.9</v>
      </c>
      <c r="R1069" s="246">
        <v>12.4</v>
      </c>
      <c r="S1069" s="251"/>
      <c r="T1069" s="247" t="s">
        <v>2154</v>
      </c>
      <c r="U1069" s="247"/>
      <c r="V1069" s="247"/>
      <c r="W1069" s="247"/>
      <c r="X1069" s="247"/>
      <c r="Y1069" s="247"/>
      <c r="Z1069" s="247"/>
      <c r="AA1069" s="247"/>
      <c r="AB1069" s="247"/>
      <c r="AC1069" s="247"/>
      <c r="AD1069" s="247"/>
      <c r="AE1069" s="247"/>
      <c r="AF1069" s="247"/>
      <c r="AG1069" s="247"/>
      <c r="AH1069" s="247"/>
      <c r="AI1069" s="247"/>
      <c r="AJ1069" s="247"/>
      <c r="AK1069" s="247"/>
      <c r="AL1069" s="247"/>
      <c r="AM1069" s="248"/>
      <c r="AN1069" s="235"/>
      <c r="AO1069" s="247" t="s">
        <v>2154</v>
      </c>
      <c r="AP1069" s="247"/>
      <c r="AQ1069" s="247"/>
      <c r="AR1069" s="247"/>
      <c r="AS1069" s="247"/>
      <c r="AT1069" s="247"/>
      <c r="AU1069" s="247"/>
      <c r="AV1069" s="247"/>
      <c r="AW1069" s="247"/>
      <c r="AX1069" s="247"/>
      <c r="AY1069" s="247"/>
      <c r="AZ1069" s="247"/>
      <c r="BA1069" s="248"/>
      <c r="BB1069" s="235"/>
      <c r="BC1069" s="247" t="s">
        <v>2153</v>
      </c>
      <c r="BD1069" s="247"/>
      <c r="BE1069" s="247"/>
      <c r="BF1069" s="247"/>
      <c r="BG1069" s="247"/>
      <c r="BH1069" s="247"/>
      <c r="BI1069" s="247"/>
      <c r="BJ1069" s="247"/>
      <c r="BK1069" s="247"/>
      <c r="BL1069" s="247"/>
      <c r="BM1069" s="247"/>
      <c r="BN1069" s="247"/>
      <c r="BO1069" s="247"/>
      <c r="BP1069" s="248"/>
    </row>
    <row r="1070" spans="1:68" ht="14.25" customHeight="1">
      <c r="A1070" s="233">
        <v>413</v>
      </c>
      <c r="B1070" s="234">
        <v>250</v>
      </c>
      <c r="C1070" s="244" t="s">
        <v>928</v>
      </c>
      <c r="D1070" s="244" t="s">
        <v>1529</v>
      </c>
      <c r="E1070" s="244" t="s">
        <v>210</v>
      </c>
      <c r="F1070" s="245">
        <v>-12.2</v>
      </c>
      <c r="G1070" s="245">
        <v>-11.3</v>
      </c>
      <c r="H1070" s="245">
        <v>-5.6</v>
      </c>
      <c r="I1070" s="245">
        <v>4.9000000000000004</v>
      </c>
      <c r="J1070" s="245">
        <v>13.5</v>
      </c>
      <c r="K1070" s="245">
        <v>17.600000000000001</v>
      </c>
      <c r="L1070" s="245">
        <v>19.600000000000001</v>
      </c>
      <c r="M1070" s="245">
        <v>18</v>
      </c>
      <c r="N1070" s="245">
        <v>11.9</v>
      </c>
      <c r="O1070" s="245">
        <v>4.4000000000000004</v>
      </c>
      <c r="P1070" s="245">
        <v>-2.9</v>
      </c>
      <c r="Q1070" s="245">
        <v>-9.1</v>
      </c>
      <c r="R1070" s="246">
        <v>4.2</v>
      </c>
      <c r="S1070" s="233">
        <v>250</v>
      </c>
      <c r="T1070" s="247" t="s">
        <v>2155</v>
      </c>
      <c r="U1070" s="245">
        <v>-35</v>
      </c>
      <c r="V1070" s="245">
        <v>-33</v>
      </c>
      <c r="W1070" s="245">
        <v>-32</v>
      </c>
      <c r="X1070" s="245">
        <v>-29</v>
      </c>
      <c r="Y1070" s="245">
        <v>-17</v>
      </c>
      <c r="Z1070" s="245">
        <v>-43</v>
      </c>
      <c r="AA1070" s="245">
        <v>7.1</v>
      </c>
      <c r="AB1070" s="245">
        <v>149</v>
      </c>
      <c r="AC1070" s="245">
        <v>-7.9</v>
      </c>
      <c r="AD1070" s="245">
        <v>207</v>
      </c>
      <c r="AE1070" s="245">
        <v>-4.5</v>
      </c>
      <c r="AF1070" s="245">
        <v>222</v>
      </c>
      <c r="AG1070" s="245">
        <v>-3.6</v>
      </c>
      <c r="AH1070" s="245">
        <v>84</v>
      </c>
      <c r="AI1070" s="245">
        <v>84</v>
      </c>
      <c r="AJ1070" s="245">
        <v>221</v>
      </c>
      <c r="AK1070" s="245" t="s">
        <v>963</v>
      </c>
      <c r="AL1070" s="245">
        <v>5.6</v>
      </c>
      <c r="AM1070" s="246">
        <v>4.8</v>
      </c>
      <c r="AN1070" s="235">
        <v>250</v>
      </c>
      <c r="AO1070" s="247" t="s">
        <v>2156</v>
      </c>
      <c r="AP1070" s="247">
        <v>985</v>
      </c>
      <c r="AQ1070" s="247">
        <v>22.9</v>
      </c>
      <c r="AR1070" s="247">
        <v>27</v>
      </c>
      <c r="AS1070" s="247">
        <v>25.3</v>
      </c>
      <c r="AT1070" s="247">
        <v>39</v>
      </c>
      <c r="AU1070" s="247">
        <v>10.9</v>
      </c>
      <c r="AV1070" s="247">
        <v>67</v>
      </c>
      <c r="AW1070" s="247">
        <v>50</v>
      </c>
      <c r="AX1070" s="247">
        <v>378</v>
      </c>
      <c r="AY1070" s="247" t="s">
        <v>965</v>
      </c>
      <c r="AZ1070" s="247" t="s">
        <v>959</v>
      </c>
      <c r="BA1070" s="248" t="s">
        <v>934</v>
      </c>
      <c r="BB1070" s="235">
        <v>221</v>
      </c>
      <c r="BC1070" s="247" t="s">
        <v>210</v>
      </c>
      <c r="BD1070" s="247">
        <v>2.4</v>
      </c>
      <c r="BE1070" s="247">
        <v>2.5</v>
      </c>
      <c r="BF1070" s="247">
        <v>3.7</v>
      </c>
      <c r="BG1070" s="247">
        <v>6.3</v>
      </c>
      <c r="BH1070" s="247">
        <v>8.9</v>
      </c>
      <c r="BI1070" s="247">
        <v>12.4</v>
      </c>
      <c r="BJ1070" s="247">
        <v>14.8</v>
      </c>
      <c r="BK1070" s="247">
        <v>13.5</v>
      </c>
      <c r="BL1070" s="247">
        <v>9.8000000000000007</v>
      </c>
      <c r="BM1070" s="247">
        <v>6.6</v>
      </c>
      <c r="BN1070" s="247">
        <v>4.5999999999999996</v>
      </c>
      <c r="BO1070" s="247">
        <v>3.2</v>
      </c>
      <c r="BP1070" s="248">
        <v>7.4</v>
      </c>
    </row>
    <row r="1071" spans="1:68" ht="14.25" customHeight="1">
      <c r="A1071" s="233">
        <v>414</v>
      </c>
      <c r="B1071" s="234">
        <v>102</v>
      </c>
      <c r="C1071" s="244" t="s">
        <v>928</v>
      </c>
      <c r="D1071" s="244" t="s">
        <v>1001</v>
      </c>
      <c r="E1071" s="244" t="s">
        <v>2157</v>
      </c>
      <c r="F1071" s="245">
        <v>-26.5</v>
      </c>
      <c r="G1071" s="245">
        <v>-25</v>
      </c>
      <c r="H1071" s="245">
        <v>-15.4</v>
      </c>
      <c r="I1071" s="245">
        <v>-3.5</v>
      </c>
      <c r="J1071" s="245">
        <v>5.5</v>
      </c>
      <c r="K1071" s="245">
        <v>13.4</v>
      </c>
      <c r="L1071" s="245">
        <v>16.8</v>
      </c>
      <c r="M1071" s="245">
        <v>13.2</v>
      </c>
      <c r="N1071" s="245">
        <v>5.7</v>
      </c>
      <c r="O1071" s="245">
        <v>-3.9</v>
      </c>
      <c r="P1071" s="245">
        <v>-17.600000000000001</v>
      </c>
      <c r="Q1071" s="245">
        <v>-25.6</v>
      </c>
      <c r="R1071" s="246">
        <v>-5.2</v>
      </c>
      <c r="S1071" s="233">
        <v>102</v>
      </c>
      <c r="T1071" s="247" t="s">
        <v>2158</v>
      </c>
      <c r="U1071" s="245">
        <v>-51</v>
      </c>
      <c r="V1071" s="245">
        <v>-50</v>
      </c>
      <c r="W1071" s="245">
        <v>-48</v>
      </c>
      <c r="X1071" s="245">
        <v>-46</v>
      </c>
      <c r="Y1071" s="245">
        <v>-31</v>
      </c>
      <c r="Z1071" s="245">
        <v>-56</v>
      </c>
      <c r="AA1071" s="245">
        <v>9.6</v>
      </c>
      <c r="AB1071" s="245">
        <v>206</v>
      </c>
      <c r="AC1071" s="245">
        <v>-16.899999999999999</v>
      </c>
      <c r="AD1071" s="245">
        <v>262</v>
      </c>
      <c r="AE1071" s="245">
        <v>-12.4</v>
      </c>
      <c r="AF1071" s="245">
        <v>277</v>
      </c>
      <c r="AG1071" s="245">
        <v>-11.2</v>
      </c>
      <c r="AH1071" s="245">
        <v>73</v>
      </c>
      <c r="AI1071" s="245">
        <v>71</v>
      </c>
      <c r="AJ1071" s="245">
        <v>41</v>
      </c>
      <c r="AK1071" s="245" t="s">
        <v>944</v>
      </c>
      <c r="AL1071" s="245" t="s">
        <v>931</v>
      </c>
      <c r="AM1071" s="246">
        <v>1.9</v>
      </c>
      <c r="AN1071" s="235">
        <v>102</v>
      </c>
      <c r="AO1071" s="247" t="s">
        <v>2159</v>
      </c>
      <c r="AP1071" s="247">
        <v>970</v>
      </c>
      <c r="AQ1071" s="247">
        <v>22.5</v>
      </c>
      <c r="AR1071" s="247">
        <v>26.6</v>
      </c>
      <c r="AS1071" s="247">
        <v>24.9</v>
      </c>
      <c r="AT1071" s="247">
        <v>36</v>
      </c>
      <c r="AU1071" s="247">
        <v>15.7</v>
      </c>
      <c r="AV1071" s="247">
        <v>74</v>
      </c>
      <c r="AW1071" s="247">
        <v>54</v>
      </c>
      <c r="AX1071" s="247">
        <v>331</v>
      </c>
      <c r="AY1071" s="247">
        <v>48</v>
      </c>
      <c r="AZ1071" s="247" t="s">
        <v>959</v>
      </c>
      <c r="BA1071" s="248" t="s">
        <v>934</v>
      </c>
      <c r="BB1071" s="235">
        <v>86</v>
      </c>
      <c r="BC1071" s="247" t="s">
        <v>2157</v>
      </c>
      <c r="BD1071" s="247">
        <v>0.6</v>
      </c>
      <c r="BE1071" s="247">
        <v>0.7</v>
      </c>
      <c r="BF1071" s="247">
        <v>1.4</v>
      </c>
      <c r="BG1071" s="247">
        <v>2.8</v>
      </c>
      <c r="BH1071" s="247">
        <v>5.2</v>
      </c>
      <c r="BI1071" s="247">
        <v>9.6999999999999993</v>
      </c>
      <c r="BJ1071" s="247">
        <v>13.3</v>
      </c>
      <c r="BK1071" s="247">
        <v>11.5</v>
      </c>
      <c r="BL1071" s="247">
        <v>6.9</v>
      </c>
      <c r="BM1071" s="247">
        <v>3.4</v>
      </c>
      <c r="BN1071" s="247">
        <v>1.4</v>
      </c>
      <c r="BO1071" s="247">
        <v>0.7</v>
      </c>
      <c r="BP1071" s="248">
        <v>4.8</v>
      </c>
    </row>
    <row r="1072" spans="1:68" ht="14.25" customHeight="1">
      <c r="A1072" s="233">
        <v>415</v>
      </c>
      <c r="B1072" s="234">
        <v>253</v>
      </c>
      <c r="C1072" s="244" t="s">
        <v>928</v>
      </c>
      <c r="D1072" s="244" t="s">
        <v>1176</v>
      </c>
      <c r="E1072" s="244" t="s">
        <v>211</v>
      </c>
      <c r="F1072" s="245">
        <v>-17</v>
      </c>
      <c r="G1072" s="245">
        <v>-14.8</v>
      </c>
      <c r="H1072" s="245">
        <v>-7.9</v>
      </c>
      <c r="I1072" s="245">
        <v>1.4</v>
      </c>
      <c r="J1072" s="245">
        <v>8</v>
      </c>
      <c r="K1072" s="245">
        <v>14.4</v>
      </c>
      <c r="L1072" s="245">
        <v>16.899999999999999</v>
      </c>
      <c r="M1072" s="245">
        <v>14.3</v>
      </c>
      <c r="N1072" s="245">
        <v>8</v>
      </c>
      <c r="O1072" s="245">
        <v>-0.3</v>
      </c>
      <c r="P1072" s="245">
        <v>-8.3000000000000007</v>
      </c>
      <c r="Q1072" s="245">
        <v>-14.4</v>
      </c>
      <c r="R1072" s="246">
        <v>0</v>
      </c>
      <c r="S1072" s="233">
        <v>253</v>
      </c>
      <c r="T1072" s="247" t="s">
        <v>2160</v>
      </c>
      <c r="U1072" s="245">
        <v>-42</v>
      </c>
      <c r="V1072" s="245">
        <v>-39</v>
      </c>
      <c r="W1072" s="245">
        <v>-38</v>
      </c>
      <c r="X1072" s="245">
        <v>-35</v>
      </c>
      <c r="Y1072" s="245">
        <v>-20</v>
      </c>
      <c r="Z1072" s="245">
        <v>-47</v>
      </c>
      <c r="AA1072" s="245">
        <v>7.1</v>
      </c>
      <c r="AB1072" s="245">
        <v>168</v>
      </c>
      <c r="AC1072" s="245">
        <v>-9.5</v>
      </c>
      <c r="AD1072" s="245">
        <v>229</v>
      </c>
      <c r="AE1072" s="245">
        <v>-5.9</v>
      </c>
      <c r="AF1072" s="245">
        <v>245</v>
      </c>
      <c r="AG1072" s="245">
        <v>-4.9000000000000004</v>
      </c>
      <c r="AH1072" s="245">
        <v>81</v>
      </c>
      <c r="AI1072" s="245">
        <v>78</v>
      </c>
      <c r="AJ1072" s="245">
        <v>192</v>
      </c>
      <c r="AK1072" s="245" t="s">
        <v>963</v>
      </c>
      <c r="AL1072" s="245">
        <v>5.2</v>
      </c>
      <c r="AM1072" s="246">
        <v>3.3</v>
      </c>
      <c r="AN1072" s="235">
        <v>253</v>
      </c>
      <c r="AO1072" s="247" t="s">
        <v>2161</v>
      </c>
      <c r="AP1072" s="247">
        <v>990</v>
      </c>
      <c r="AQ1072" s="247">
        <v>21.5</v>
      </c>
      <c r="AR1072" s="247">
        <v>25.3</v>
      </c>
      <c r="AS1072" s="247">
        <v>23.4</v>
      </c>
      <c r="AT1072" s="247">
        <v>37</v>
      </c>
      <c r="AU1072" s="247">
        <v>10.9</v>
      </c>
      <c r="AV1072" s="247">
        <v>69</v>
      </c>
      <c r="AW1072" s="247">
        <v>57</v>
      </c>
      <c r="AX1072" s="247">
        <v>424</v>
      </c>
      <c r="AY1072" s="247">
        <v>72</v>
      </c>
      <c r="AZ1072" s="247" t="s">
        <v>1005</v>
      </c>
      <c r="BA1072" s="248">
        <v>0</v>
      </c>
      <c r="BB1072" s="235">
        <v>224</v>
      </c>
      <c r="BC1072" s="247" t="s">
        <v>211</v>
      </c>
      <c r="BD1072" s="247">
        <v>1.9</v>
      </c>
      <c r="BE1072" s="247">
        <v>2</v>
      </c>
      <c r="BF1072" s="247">
        <v>3.1</v>
      </c>
      <c r="BG1072" s="247">
        <v>5.2</v>
      </c>
      <c r="BH1072" s="247">
        <v>7.6</v>
      </c>
      <c r="BI1072" s="247">
        <v>11.3</v>
      </c>
      <c r="BJ1072" s="247">
        <v>14</v>
      </c>
      <c r="BK1072" s="247">
        <v>12.7</v>
      </c>
      <c r="BL1072" s="247">
        <v>9.3000000000000007</v>
      </c>
      <c r="BM1072" s="247">
        <v>5.8</v>
      </c>
      <c r="BN1072" s="247">
        <v>3.7</v>
      </c>
      <c r="BO1072" s="247">
        <v>2.4</v>
      </c>
      <c r="BP1072" s="248">
        <v>6.6</v>
      </c>
    </row>
    <row r="1073" spans="1:68" ht="14.25" customHeight="1">
      <c r="A1073" s="233">
        <v>416</v>
      </c>
      <c r="B1073" s="234">
        <v>136</v>
      </c>
      <c r="C1073" s="244" t="s">
        <v>928</v>
      </c>
      <c r="D1073" s="244" t="s">
        <v>1680</v>
      </c>
      <c r="E1073" s="244" t="s">
        <v>212</v>
      </c>
      <c r="F1073" s="245">
        <v>-11.1</v>
      </c>
      <c r="G1073" s="245">
        <v>-10.4</v>
      </c>
      <c r="H1073" s="245">
        <v>-5.4</v>
      </c>
      <c r="I1073" s="245">
        <v>1.3</v>
      </c>
      <c r="J1073" s="245">
        <v>7.6</v>
      </c>
      <c r="K1073" s="245">
        <v>13.6</v>
      </c>
      <c r="L1073" s="245">
        <v>15.7</v>
      </c>
      <c r="M1073" s="245">
        <v>14.1</v>
      </c>
      <c r="N1073" s="245">
        <v>8.9</v>
      </c>
      <c r="O1073" s="245">
        <v>2.9</v>
      </c>
      <c r="P1073" s="245">
        <v>-2.6</v>
      </c>
      <c r="Q1073" s="245">
        <v>-7.2</v>
      </c>
      <c r="R1073" s="246">
        <v>2.2999999999999998</v>
      </c>
      <c r="S1073" s="233">
        <v>136</v>
      </c>
      <c r="T1073" s="247" t="s">
        <v>2162</v>
      </c>
      <c r="U1073" s="245">
        <v>-37</v>
      </c>
      <c r="V1073" s="245">
        <v>-34</v>
      </c>
      <c r="W1073" s="245">
        <v>-32</v>
      </c>
      <c r="X1073" s="245">
        <v>-29</v>
      </c>
      <c r="Y1073" s="245">
        <v>-16</v>
      </c>
      <c r="Z1073" s="245">
        <v>-38</v>
      </c>
      <c r="AA1073" s="245">
        <v>6.6</v>
      </c>
      <c r="AB1073" s="245">
        <v>160</v>
      </c>
      <c r="AC1073" s="245">
        <v>-6.7</v>
      </c>
      <c r="AD1073" s="245">
        <v>240</v>
      </c>
      <c r="AE1073" s="245">
        <v>-3.1</v>
      </c>
      <c r="AF1073" s="245">
        <v>261</v>
      </c>
      <c r="AG1073" s="245">
        <v>-2.1</v>
      </c>
      <c r="AH1073" s="245">
        <v>86</v>
      </c>
      <c r="AI1073" s="245">
        <v>84</v>
      </c>
      <c r="AJ1073" s="245">
        <v>169</v>
      </c>
      <c r="AK1073" s="245" t="s">
        <v>971</v>
      </c>
      <c r="AL1073" s="245">
        <v>5.9</v>
      </c>
      <c r="AM1073" s="246">
        <v>3.9</v>
      </c>
      <c r="AN1073" s="235">
        <v>136</v>
      </c>
      <c r="AO1073" s="247" t="s">
        <v>2163</v>
      </c>
      <c r="AP1073" s="247">
        <v>1000</v>
      </c>
      <c r="AQ1073" s="247">
        <v>19</v>
      </c>
      <c r="AR1073" s="247">
        <v>22.8</v>
      </c>
      <c r="AS1073" s="247">
        <v>20.3</v>
      </c>
      <c r="AT1073" s="247">
        <v>33</v>
      </c>
      <c r="AU1073" s="247">
        <v>9</v>
      </c>
      <c r="AV1073" s="247">
        <v>74</v>
      </c>
      <c r="AW1073" s="247">
        <v>60</v>
      </c>
      <c r="AX1073" s="247">
        <v>589</v>
      </c>
      <c r="AY1073" s="247">
        <v>59</v>
      </c>
      <c r="AZ1073" s="247" t="s">
        <v>978</v>
      </c>
      <c r="BA1073" s="248">
        <v>3.2</v>
      </c>
      <c r="BB1073" s="235">
        <v>119</v>
      </c>
      <c r="BC1073" s="247" t="s">
        <v>212</v>
      </c>
      <c r="BD1073" s="247">
        <v>2.7</v>
      </c>
      <c r="BE1073" s="247">
        <v>2.7</v>
      </c>
      <c r="BF1073" s="247">
        <v>3.4</v>
      </c>
      <c r="BG1073" s="247">
        <v>4.8</v>
      </c>
      <c r="BH1073" s="247">
        <v>6.8</v>
      </c>
      <c r="BI1073" s="247">
        <v>10.4</v>
      </c>
      <c r="BJ1073" s="247">
        <v>13.2</v>
      </c>
      <c r="BK1073" s="247">
        <v>12.8</v>
      </c>
      <c r="BL1073" s="247">
        <v>9.6</v>
      </c>
      <c r="BM1073" s="247">
        <v>6.7</v>
      </c>
      <c r="BN1073" s="247">
        <v>4.7</v>
      </c>
      <c r="BO1073" s="247">
        <v>3.5</v>
      </c>
      <c r="BP1073" s="248">
        <v>6.8</v>
      </c>
    </row>
    <row r="1074" spans="1:68" ht="14.25" customHeight="1">
      <c r="A1074" s="233">
        <v>417</v>
      </c>
      <c r="B1074" s="234">
        <v>528</v>
      </c>
      <c r="C1074" s="244" t="s">
        <v>960</v>
      </c>
      <c r="D1074" s="244" t="s">
        <v>1433</v>
      </c>
      <c r="E1074" s="244" t="s">
        <v>2164</v>
      </c>
      <c r="F1074" s="245">
        <v>-18.100000000000001</v>
      </c>
      <c r="G1074" s="245">
        <v>-16.899999999999999</v>
      </c>
      <c r="H1074" s="245">
        <v>-10.3</v>
      </c>
      <c r="I1074" s="245">
        <v>2.4</v>
      </c>
      <c r="J1074" s="245">
        <v>11.6</v>
      </c>
      <c r="K1074" s="245">
        <v>17</v>
      </c>
      <c r="L1074" s="245">
        <v>18.899999999999999</v>
      </c>
      <c r="M1074" s="245">
        <v>16.2</v>
      </c>
      <c r="N1074" s="245">
        <v>10.7</v>
      </c>
      <c r="O1074" s="245">
        <v>1.9</v>
      </c>
      <c r="P1074" s="245">
        <v>-7.8</v>
      </c>
      <c r="Q1074" s="245">
        <v>-15.2</v>
      </c>
      <c r="R1074" s="246">
        <v>0.9</v>
      </c>
      <c r="S1074" s="233">
        <v>528</v>
      </c>
      <c r="T1074" s="247" t="s">
        <v>2164</v>
      </c>
      <c r="U1074" s="245">
        <v>-40</v>
      </c>
      <c r="V1074" s="245">
        <v>-38</v>
      </c>
      <c r="W1074" s="245">
        <v>-39</v>
      </c>
      <c r="X1074" s="245">
        <v>-36</v>
      </c>
      <c r="Y1074" s="245">
        <v>-24</v>
      </c>
      <c r="Z1074" s="245">
        <v>-44</v>
      </c>
      <c r="AA1074" s="245">
        <v>9.1</v>
      </c>
      <c r="AB1074" s="245">
        <v>171</v>
      </c>
      <c r="AC1074" s="245">
        <v>-12.2</v>
      </c>
      <c r="AD1074" s="245">
        <v>218</v>
      </c>
      <c r="AE1074" s="245">
        <v>-8.6</v>
      </c>
      <c r="AF1074" s="245">
        <v>233</v>
      </c>
      <c r="AG1074" s="245">
        <v>-7.5</v>
      </c>
      <c r="AH1074" s="245">
        <v>81</v>
      </c>
      <c r="AI1074" s="245">
        <v>78</v>
      </c>
      <c r="AJ1074" s="245">
        <v>74</v>
      </c>
      <c r="AK1074" s="245" t="s">
        <v>971</v>
      </c>
      <c r="AL1074" s="245">
        <v>6.4</v>
      </c>
      <c r="AM1074" s="246">
        <v>5.7</v>
      </c>
      <c r="AN1074" s="235">
        <v>528</v>
      </c>
      <c r="AO1074" s="247" t="s">
        <v>2165</v>
      </c>
      <c r="AP1074" s="247">
        <v>1000</v>
      </c>
      <c r="AQ1074" s="247">
        <v>24.4</v>
      </c>
      <c r="AR1074" s="247">
        <v>28.4</v>
      </c>
      <c r="AS1074" s="247">
        <v>24.9</v>
      </c>
      <c r="AT1074" s="247">
        <v>40</v>
      </c>
      <c r="AU1074" s="247">
        <v>11.9</v>
      </c>
      <c r="AV1074" s="247">
        <v>68</v>
      </c>
      <c r="AW1074" s="247">
        <v>53</v>
      </c>
      <c r="AX1074" s="247">
        <v>277</v>
      </c>
      <c r="AY1074" s="247" t="s">
        <v>2166</v>
      </c>
      <c r="AZ1074" s="247" t="s">
        <v>959</v>
      </c>
      <c r="BA1074" s="248">
        <v>4.5999999999999996</v>
      </c>
      <c r="BB1074" s="235"/>
      <c r="BC1074" s="247" t="s">
        <v>2164</v>
      </c>
      <c r="BD1074" s="247"/>
      <c r="BE1074" s="247"/>
      <c r="BF1074" s="247"/>
      <c r="BG1074" s="247"/>
      <c r="BH1074" s="247"/>
      <c r="BI1074" s="247"/>
      <c r="BJ1074" s="247"/>
      <c r="BK1074" s="247"/>
      <c r="BL1074" s="247"/>
      <c r="BM1074" s="247"/>
      <c r="BN1074" s="247"/>
      <c r="BO1074" s="247"/>
      <c r="BP1074" s="248"/>
    </row>
    <row r="1075" spans="1:68" ht="14.25" customHeight="1">
      <c r="A1075" s="233">
        <v>418</v>
      </c>
      <c r="B1075" s="234">
        <v>122</v>
      </c>
      <c r="C1075" s="244" t="s">
        <v>928</v>
      </c>
      <c r="D1075" s="244" t="s">
        <v>1023</v>
      </c>
      <c r="E1075" s="244" t="s">
        <v>2167</v>
      </c>
      <c r="F1075" s="245">
        <v>-7.5</v>
      </c>
      <c r="G1075" s="245">
        <v>-7.5</v>
      </c>
      <c r="H1075" s="245">
        <v>-4.8</v>
      </c>
      <c r="I1075" s="245">
        <v>-0.5</v>
      </c>
      <c r="J1075" s="245">
        <v>3.8</v>
      </c>
      <c r="K1075" s="245">
        <v>8.3000000000000007</v>
      </c>
      <c r="L1075" s="245">
        <v>12.2</v>
      </c>
      <c r="M1075" s="245">
        <v>13.2</v>
      </c>
      <c r="N1075" s="245">
        <v>10.1</v>
      </c>
      <c r="O1075" s="245">
        <v>4.8</v>
      </c>
      <c r="P1075" s="245">
        <v>-1.7</v>
      </c>
      <c r="Q1075" s="245">
        <v>-5.5</v>
      </c>
      <c r="R1075" s="246">
        <v>2.1</v>
      </c>
      <c r="S1075" s="233">
        <v>122</v>
      </c>
      <c r="T1075" s="247" t="s">
        <v>2168</v>
      </c>
      <c r="U1075" s="245">
        <v>-26</v>
      </c>
      <c r="V1075" s="245">
        <v>-22</v>
      </c>
      <c r="W1075" s="245">
        <v>-22</v>
      </c>
      <c r="X1075" s="245">
        <v>-20</v>
      </c>
      <c r="Y1075" s="245">
        <v>-12</v>
      </c>
      <c r="Z1075" s="245">
        <v>-32</v>
      </c>
      <c r="AA1075" s="245">
        <v>5.5</v>
      </c>
      <c r="AB1075" s="245">
        <v>162</v>
      </c>
      <c r="AC1075" s="245">
        <v>-4.9000000000000004</v>
      </c>
      <c r="AD1075" s="245">
        <v>259</v>
      </c>
      <c r="AE1075" s="245">
        <v>1.6</v>
      </c>
      <c r="AF1075" s="245">
        <v>286</v>
      </c>
      <c r="AG1075" s="245">
        <v>-0.6</v>
      </c>
      <c r="AH1075" s="245">
        <v>67</v>
      </c>
      <c r="AI1075" s="245">
        <v>66</v>
      </c>
      <c r="AJ1075" s="245">
        <v>863</v>
      </c>
      <c r="AK1075" s="245" t="s">
        <v>944</v>
      </c>
      <c r="AL1075" s="245">
        <v>9</v>
      </c>
      <c r="AM1075" s="246">
        <v>2.9</v>
      </c>
      <c r="AN1075" s="235">
        <v>122</v>
      </c>
      <c r="AO1075" s="247" t="s">
        <v>2167</v>
      </c>
      <c r="AP1075" s="247">
        <v>1000</v>
      </c>
      <c r="AQ1075" s="247">
        <v>14.4</v>
      </c>
      <c r="AR1075" s="247">
        <v>19.2</v>
      </c>
      <c r="AS1075" s="247">
        <v>16.8</v>
      </c>
      <c r="AT1075" s="247">
        <v>29</v>
      </c>
      <c r="AU1075" s="247">
        <v>6.2</v>
      </c>
      <c r="AV1075" s="247">
        <v>82</v>
      </c>
      <c r="AW1075" s="247">
        <v>75</v>
      </c>
      <c r="AX1075" s="247">
        <v>754</v>
      </c>
      <c r="AY1075" s="247">
        <v>207</v>
      </c>
      <c r="AZ1075" s="247" t="s">
        <v>946</v>
      </c>
      <c r="BA1075" s="248">
        <v>0</v>
      </c>
      <c r="BB1075" s="235">
        <v>106</v>
      </c>
      <c r="BC1075" s="247" t="s">
        <v>2167</v>
      </c>
      <c r="BD1075" s="247">
        <v>2.6</v>
      </c>
      <c r="BE1075" s="247">
        <v>2.5</v>
      </c>
      <c r="BF1075" s="247">
        <v>3</v>
      </c>
      <c r="BG1075" s="247">
        <v>4.2</v>
      </c>
      <c r="BH1075" s="247">
        <v>6</v>
      </c>
      <c r="BI1075" s="247">
        <v>8.6999999999999993</v>
      </c>
      <c r="BJ1075" s="247">
        <v>11.8</v>
      </c>
      <c r="BK1075" s="247">
        <v>12.5</v>
      </c>
      <c r="BL1075" s="247">
        <v>9.6999999999999993</v>
      </c>
      <c r="BM1075" s="247">
        <v>6.1</v>
      </c>
      <c r="BN1075" s="247">
        <v>3.8</v>
      </c>
      <c r="BO1075" s="247">
        <v>2.9</v>
      </c>
      <c r="BP1075" s="248">
        <v>6.2</v>
      </c>
    </row>
    <row r="1076" spans="1:68" ht="14.25" customHeight="1">
      <c r="A1076" s="233">
        <v>419</v>
      </c>
      <c r="B1076" s="234">
        <v>153</v>
      </c>
      <c r="C1076" s="244" t="s">
        <v>928</v>
      </c>
      <c r="D1076" s="244" t="s">
        <v>1273</v>
      </c>
      <c r="E1076" s="244" t="s">
        <v>2169</v>
      </c>
      <c r="F1076" s="245">
        <v>-19.7</v>
      </c>
      <c r="G1076" s="245">
        <v>-18.8</v>
      </c>
      <c r="H1076" s="245">
        <v>-15.2</v>
      </c>
      <c r="I1076" s="245">
        <v>-6.5</v>
      </c>
      <c r="J1076" s="245">
        <v>-0.2</v>
      </c>
      <c r="K1076" s="245">
        <v>8.4</v>
      </c>
      <c r="L1076" s="245">
        <v>13.8</v>
      </c>
      <c r="M1076" s="245">
        <v>11</v>
      </c>
      <c r="N1076" s="245">
        <v>5.3</v>
      </c>
      <c r="O1076" s="245">
        <v>-3</v>
      </c>
      <c r="P1076" s="245">
        <v>-11.3</v>
      </c>
      <c r="Q1076" s="245">
        <v>-16.600000000000001</v>
      </c>
      <c r="R1076" s="246">
        <v>-4.4000000000000004</v>
      </c>
      <c r="S1076" s="233">
        <v>153</v>
      </c>
      <c r="T1076" s="247" t="s">
        <v>2170</v>
      </c>
      <c r="U1076" s="245">
        <v>-49</v>
      </c>
      <c r="V1076" s="245">
        <v>-47</v>
      </c>
      <c r="W1076" s="245">
        <v>-45</v>
      </c>
      <c r="X1076" s="245">
        <v>-43</v>
      </c>
      <c r="Y1076" s="245">
        <v>-25</v>
      </c>
      <c r="Z1076" s="245">
        <v>-53</v>
      </c>
      <c r="AA1076" s="245">
        <v>9.3000000000000007</v>
      </c>
      <c r="AB1076" s="245">
        <v>224</v>
      </c>
      <c r="AC1076" s="245">
        <v>-12.2</v>
      </c>
      <c r="AD1076" s="245">
        <v>286</v>
      </c>
      <c r="AE1076" s="245">
        <v>-8.6</v>
      </c>
      <c r="AF1076" s="245">
        <v>307</v>
      </c>
      <c r="AG1076" s="245">
        <v>-7.4</v>
      </c>
      <c r="AH1076" s="245">
        <v>82</v>
      </c>
      <c r="AI1076" s="245">
        <v>82</v>
      </c>
      <c r="AJ1076" s="245">
        <v>124</v>
      </c>
      <c r="AK1076" s="245" t="s">
        <v>971</v>
      </c>
      <c r="AL1076" s="245" t="s">
        <v>931</v>
      </c>
      <c r="AM1076" s="246">
        <v>4.7</v>
      </c>
      <c r="AN1076" s="235">
        <v>153</v>
      </c>
      <c r="AO1076" s="247" t="s">
        <v>2171</v>
      </c>
      <c r="AP1076" s="247">
        <v>1000</v>
      </c>
      <c r="AQ1076" s="247">
        <v>16.8</v>
      </c>
      <c r="AR1076" s="247">
        <v>21.2</v>
      </c>
      <c r="AS1076" s="247">
        <v>19.2</v>
      </c>
      <c r="AT1076" s="247">
        <v>33</v>
      </c>
      <c r="AU1076" s="247">
        <v>10.8</v>
      </c>
      <c r="AV1076" s="247">
        <v>72</v>
      </c>
      <c r="AW1076" s="247">
        <v>60</v>
      </c>
      <c r="AX1076" s="247">
        <v>349</v>
      </c>
      <c r="AY1076" s="247">
        <v>38</v>
      </c>
      <c r="AZ1076" s="247" t="s">
        <v>1005</v>
      </c>
      <c r="BA1076" s="248" t="s">
        <v>934</v>
      </c>
      <c r="BB1076" s="235">
        <v>133</v>
      </c>
      <c r="BC1076" s="247" t="s">
        <v>2169</v>
      </c>
      <c r="BD1076" s="247">
        <v>1.4</v>
      </c>
      <c r="BE1076" s="247">
        <v>1.4</v>
      </c>
      <c r="BF1076" s="247">
        <v>2</v>
      </c>
      <c r="BG1076" s="247">
        <v>3.5</v>
      </c>
      <c r="BH1076" s="247">
        <v>4.9000000000000004</v>
      </c>
      <c r="BI1076" s="247">
        <v>7.9</v>
      </c>
      <c r="BJ1076" s="247">
        <v>11.3</v>
      </c>
      <c r="BK1076" s="247">
        <v>10.7</v>
      </c>
      <c r="BL1076" s="247">
        <v>7.7</v>
      </c>
      <c r="BM1076" s="247">
        <v>4.5999999999999996</v>
      </c>
      <c r="BN1076" s="247">
        <v>2.7</v>
      </c>
      <c r="BO1076" s="247">
        <v>1.8</v>
      </c>
      <c r="BP1076" s="248">
        <v>5</v>
      </c>
    </row>
    <row r="1077" spans="1:68" ht="14.25" customHeight="1">
      <c r="A1077" s="233">
        <v>420</v>
      </c>
      <c r="B1077" s="234">
        <v>154</v>
      </c>
      <c r="C1077" s="244" t="s">
        <v>928</v>
      </c>
      <c r="D1077" s="244" t="s">
        <v>1273</v>
      </c>
      <c r="E1077" s="244" t="s">
        <v>2172</v>
      </c>
      <c r="F1077" s="245">
        <v>-19.5</v>
      </c>
      <c r="G1077" s="245">
        <v>-17.7</v>
      </c>
      <c r="H1077" s="245">
        <v>-11.6</v>
      </c>
      <c r="I1077" s="245">
        <v>-3.4</v>
      </c>
      <c r="J1077" s="245">
        <v>3.4</v>
      </c>
      <c r="K1077" s="245">
        <v>11.1</v>
      </c>
      <c r="L1077" s="245">
        <v>16</v>
      </c>
      <c r="M1077" s="245">
        <v>12.3</v>
      </c>
      <c r="N1077" s="245">
        <v>6.1</v>
      </c>
      <c r="O1077" s="245">
        <v>-2.5</v>
      </c>
      <c r="P1077" s="245">
        <v>-10.6</v>
      </c>
      <c r="Q1077" s="245">
        <v>-15.6</v>
      </c>
      <c r="R1077" s="246">
        <v>-2.7</v>
      </c>
      <c r="S1077" s="233">
        <v>154</v>
      </c>
      <c r="T1077" s="247" t="s">
        <v>2173</v>
      </c>
      <c r="U1077" s="245">
        <v>-51</v>
      </c>
      <c r="V1077" s="245">
        <v>-48</v>
      </c>
      <c r="W1077" s="245">
        <v>-46</v>
      </c>
      <c r="X1077" s="245">
        <v>-43</v>
      </c>
      <c r="Y1077" s="245">
        <v>-25</v>
      </c>
      <c r="Z1077" s="245">
        <v>-55</v>
      </c>
      <c r="AA1077" s="245">
        <v>-8.4</v>
      </c>
      <c r="AB1077" s="245">
        <v>206</v>
      </c>
      <c r="AC1077" s="245">
        <v>-11.6</v>
      </c>
      <c r="AD1077" s="245">
        <v>270</v>
      </c>
      <c r="AE1077" s="245">
        <v>-7.9</v>
      </c>
      <c r="AF1077" s="245">
        <v>288</v>
      </c>
      <c r="AG1077" s="245">
        <v>-6.8</v>
      </c>
      <c r="AH1077" s="245">
        <v>82</v>
      </c>
      <c r="AI1077" s="245">
        <v>80</v>
      </c>
      <c r="AJ1077" s="245">
        <v>183</v>
      </c>
      <c r="AK1077" s="245" t="s">
        <v>990</v>
      </c>
      <c r="AL1077" s="245">
        <v>5.6</v>
      </c>
      <c r="AM1077" s="246">
        <v>3.8</v>
      </c>
      <c r="AN1077" s="235">
        <v>154</v>
      </c>
      <c r="AO1077" s="247" t="s">
        <v>2174</v>
      </c>
      <c r="AP1077" s="247">
        <v>1000</v>
      </c>
      <c r="AQ1077" s="247">
        <v>18.3</v>
      </c>
      <c r="AR1077" s="247">
        <v>23.6</v>
      </c>
      <c r="AS1077" s="247">
        <v>21.7</v>
      </c>
      <c r="AT1077" s="247">
        <v>35</v>
      </c>
      <c r="AU1077" s="247">
        <v>10.8</v>
      </c>
      <c r="AV1077" s="247">
        <v>66</v>
      </c>
      <c r="AW1077" s="247">
        <v>52</v>
      </c>
      <c r="AX1077" s="247">
        <v>373</v>
      </c>
      <c r="AY1077" s="247">
        <v>49</v>
      </c>
      <c r="AZ1077" s="247" t="s">
        <v>1005</v>
      </c>
      <c r="BA1077" s="248">
        <v>3.5</v>
      </c>
      <c r="BB1077" s="235">
        <v>134</v>
      </c>
      <c r="BC1077" s="247" t="s">
        <v>2172</v>
      </c>
      <c r="BD1077" s="247">
        <v>1.5</v>
      </c>
      <c r="BE1077" s="247">
        <v>1.6</v>
      </c>
      <c r="BF1077" s="247">
        <v>2.4</v>
      </c>
      <c r="BG1077" s="247">
        <v>3.7</v>
      </c>
      <c r="BH1077" s="247">
        <v>5.3</v>
      </c>
      <c r="BI1077" s="247">
        <v>8.3000000000000007</v>
      </c>
      <c r="BJ1077" s="247">
        <v>11.9</v>
      </c>
      <c r="BK1077" s="247">
        <v>11</v>
      </c>
      <c r="BL1077" s="247">
        <v>8.1</v>
      </c>
      <c r="BM1077" s="247">
        <v>4.8</v>
      </c>
      <c r="BN1077" s="247">
        <v>2.9</v>
      </c>
      <c r="BO1077" s="247">
        <v>2</v>
      </c>
      <c r="BP1077" s="248">
        <v>5.3</v>
      </c>
    </row>
    <row r="1078" spans="1:68" ht="14.25" customHeight="1">
      <c r="A1078" s="233">
        <v>421</v>
      </c>
      <c r="B1078" s="234">
        <v>296</v>
      </c>
      <c r="C1078" s="244" t="s">
        <v>928</v>
      </c>
      <c r="D1078" s="244" t="s">
        <v>992</v>
      </c>
      <c r="E1078" s="244" t="s">
        <v>2175</v>
      </c>
      <c r="F1078" s="245">
        <v>-20.7</v>
      </c>
      <c r="G1078" s="245">
        <v>-18.7</v>
      </c>
      <c r="H1078" s="245">
        <v>-12.6</v>
      </c>
      <c r="I1078" s="245">
        <v>-3.6</v>
      </c>
      <c r="J1078" s="245">
        <v>1.9</v>
      </c>
      <c r="K1078" s="245">
        <v>9</v>
      </c>
      <c r="L1078" s="245">
        <v>13.8</v>
      </c>
      <c r="M1078" s="245">
        <v>15.4</v>
      </c>
      <c r="N1078" s="245">
        <v>11.7</v>
      </c>
      <c r="O1078" s="245">
        <v>3.6</v>
      </c>
      <c r="P1078" s="245">
        <v>-7.3</v>
      </c>
      <c r="Q1078" s="245">
        <v>-16.7</v>
      </c>
      <c r="R1078" s="246">
        <v>-2</v>
      </c>
      <c r="S1078" s="233">
        <v>296</v>
      </c>
      <c r="T1078" s="247" t="s">
        <v>2176</v>
      </c>
      <c r="U1078" s="245">
        <v>-34</v>
      </c>
      <c r="V1078" s="245">
        <v>-33</v>
      </c>
      <c r="W1078" s="245">
        <v>-32</v>
      </c>
      <c r="X1078" s="245">
        <v>-30</v>
      </c>
      <c r="Y1078" s="245">
        <v>-26</v>
      </c>
      <c r="Z1078" s="245">
        <v>-44</v>
      </c>
      <c r="AA1078" s="245">
        <v>8.4</v>
      </c>
      <c r="AB1078" s="245">
        <v>191</v>
      </c>
      <c r="AC1078" s="245">
        <v>-12.3</v>
      </c>
      <c r="AD1078" s="245">
        <v>255</v>
      </c>
      <c r="AE1078" s="245">
        <v>-8.1999999999999993</v>
      </c>
      <c r="AF1078" s="245">
        <v>273</v>
      </c>
      <c r="AG1078" s="245">
        <v>-7.1</v>
      </c>
      <c r="AH1078" s="245">
        <v>78</v>
      </c>
      <c r="AI1078" s="245">
        <v>74</v>
      </c>
      <c r="AJ1078" s="245">
        <v>145</v>
      </c>
      <c r="AK1078" s="245" t="s">
        <v>944</v>
      </c>
      <c r="AL1078" s="245" t="s">
        <v>931</v>
      </c>
      <c r="AM1078" s="246">
        <v>5.6</v>
      </c>
      <c r="AN1078" s="235">
        <v>290</v>
      </c>
      <c r="AO1078" s="247" t="s">
        <v>2177</v>
      </c>
      <c r="AP1078" s="247">
        <v>1010</v>
      </c>
      <c r="AQ1078" s="247">
        <v>16.100000000000001</v>
      </c>
      <c r="AR1078" s="247">
        <v>20.6</v>
      </c>
      <c r="AS1078" s="247">
        <v>18.5</v>
      </c>
      <c r="AT1078" s="247">
        <v>27</v>
      </c>
      <c r="AU1078" s="247">
        <v>5.8</v>
      </c>
      <c r="AV1078" s="247">
        <v>88</v>
      </c>
      <c r="AW1078" s="247">
        <v>81</v>
      </c>
      <c r="AX1078" s="247">
        <v>425</v>
      </c>
      <c r="AY1078" s="247">
        <v>87</v>
      </c>
      <c r="AZ1078" s="247" t="s">
        <v>973</v>
      </c>
      <c r="BA1078" s="248" t="s">
        <v>934</v>
      </c>
      <c r="BB1078" s="235">
        <v>261</v>
      </c>
      <c r="BC1078" s="247" t="s">
        <v>2175</v>
      </c>
      <c r="BD1078" s="247">
        <v>1.1000000000000001</v>
      </c>
      <c r="BE1078" s="247">
        <v>1.3</v>
      </c>
      <c r="BF1078" s="247">
        <v>2.2000000000000002</v>
      </c>
      <c r="BG1078" s="247">
        <v>4.2</v>
      </c>
      <c r="BH1078" s="247">
        <v>6.2</v>
      </c>
      <c r="BI1078" s="247">
        <v>10</v>
      </c>
      <c r="BJ1078" s="247">
        <v>14</v>
      </c>
      <c r="BK1078" s="247">
        <v>15.5</v>
      </c>
      <c r="BL1078" s="247">
        <v>11.6</v>
      </c>
      <c r="BM1078" s="247">
        <v>6.4</v>
      </c>
      <c r="BN1078" s="247">
        <v>2.9</v>
      </c>
      <c r="BO1078" s="247">
        <v>1.5</v>
      </c>
      <c r="BP1078" s="248">
        <v>6.4</v>
      </c>
    </row>
    <row r="1079" spans="1:68" ht="14.25" customHeight="1">
      <c r="A1079" s="233">
        <v>422</v>
      </c>
      <c r="B1079" s="234">
        <v>471</v>
      </c>
      <c r="C1079" s="244" t="s">
        <v>1220</v>
      </c>
      <c r="D1079" s="244" t="s">
        <v>1301</v>
      </c>
      <c r="E1079" s="244" t="s">
        <v>2178</v>
      </c>
      <c r="F1079" s="245">
        <v>-7.3</v>
      </c>
      <c r="G1079" s="245">
        <v>-6.8</v>
      </c>
      <c r="H1079" s="245">
        <v>-2.5</v>
      </c>
      <c r="I1079" s="245">
        <v>5</v>
      </c>
      <c r="J1079" s="245">
        <v>12.3</v>
      </c>
      <c r="K1079" s="245">
        <v>15.8</v>
      </c>
      <c r="L1079" s="245">
        <v>17.5</v>
      </c>
      <c r="M1079" s="245">
        <v>16.100000000000001</v>
      </c>
      <c r="N1079" s="245">
        <v>11.1</v>
      </c>
      <c r="O1079" s="245">
        <v>5.5</v>
      </c>
      <c r="P1079" s="245">
        <v>0</v>
      </c>
      <c r="Q1079" s="245">
        <v>-4.5999999999999996</v>
      </c>
      <c r="R1079" s="246">
        <v>5.2</v>
      </c>
      <c r="S1079" s="233">
        <v>471</v>
      </c>
      <c r="T1079" s="247" t="s">
        <v>2179</v>
      </c>
      <c r="U1079" s="245">
        <v>-35</v>
      </c>
      <c r="V1079" s="245">
        <v>-30</v>
      </c>
      <c r="W1079" s="245">
        <v>-29</v>
      </c>
      <c r="X1079" s="245">
        <v>-25</v>
      </c>
      <c r="Y1079" s="245">
        <v>-12</v>
      </c>
      <c r="Z1079" s="245">
        <v>-39</v>
      </c>
      <c r="AA1079" s="245">
        <v>6.3</v>
      </c>
      <c r="AB1079" s="245">
        <v>133</v>
      </c>
      <c r="AC1079" s="245">
        <v>5</v>
      </c>
      <c r="AD1079" s="245">
        <v>207</v>
      </c>
      <c r="AE1079" s="245">
        <v>-1.8</v>
      </c>
      <c r="AF1079" s="245">
        <v>225</v>
      </c>
      <c r="AG1079" s="245">
        <v>-0.9</v>
      </c>
      <c r="AH1079" s="245">
        <v>85</v>
      </c>
      <c r="AI1079" s="245">
        <v>82</v>
      </c>
      <c r="AJ1079" s="245">
        <v>202</v>
      </c>
      <c r="AK1079" s="245" t="s">
        <v>963</v>
      </c>
      <c r="AL1079" s="245">
        <v>4.0999999999999996</v>
      </c>
      <c r="AM1079" s="246">
        <v>3.8</v>
      </c>
      <c r="AN1079" s="235">
        <v>471</v>
      </c>
      <c r="AO1079" s="247" t="s">
        <v>2180</v>
      </c>
      <c r="AP1079" s="247">
        <v>1000</v>
      </c>
      <c r="AQ1079" s="247">
        <v>21</v>
      </c>
      <c r="AR1079" s="247">
        <v>26</v>
      </c>
      <c r="AS1079" s="247">
        <v>23</v>
      </c>
      <c r="AT1079" s="247">
        <v>34</v>
      </c>
      <c r="AU1079" s="247">
        <v>10.6</v>
      </c>
      <c r="AV1079" s="247" t="s">
        <v>958</v>
      </c>
      <c r="AW1079" s="247">
        <v>60</v>
      </c>
      <c r="AX1079" s="247">
        <v>460</v>
      </c>
      <c r="AY1079" s="247">
        <v>64</v>
      </c>
      <c r="AZ1079" s="247" t="s">
        <v>952</v>
      </c>
      <c r="BA1079" s="248">
        <v>2.9</v>
      </c>
      <c r="BB1079" s="235"/>
      <c r="BC1079" s="247" t="s">
        <v>2179</v>
      </c>
      <c r="BD1079" s="247"/>
      <c r="BE1079" s="247"/>
      <c r="BF1079" s="247"/>
      <c r="BG1079" s="247"/>
      <c r="BH1079" s="247"/>
      <c r="BI1079" s="247"/>
      <c r="BJ1079" s="247"/>
      <c r="BK1079" s="247"/>
      <c r="BL1079" s="247"/>
      <c r="BM1079" s="247"/>
      <c r="BN1079" s="247"/>
      <c r="BO1079" s="247"/>
      <c r="BP1079" s="248"/>
    </row>
    <row r="1080" spans="1:68" ht="14.25" customHeight="1">
      <c r="A1080" s="233">
        <v>423</v>
      </c>
      <c r="B1080" s="234">
        <v>633</v>
      </c>
      <c r="C1080" s="244" t="s">
        <v>953</v>
      </c>
      <c r="D1080" s="244" t="s">
        <v>1879</v>
      </c>
      <c r="E1080" s="244" t="s">
        <v>2181</v>
      </c>
      <c r="F1080" s="245">
        <v>-6.6</v>
      </c>
      <c r="G1080" s="245">
        <v>-5.3</v>
      </c>
      <c r="H1080" s="245">
        <v>-0.1</v>
      </c>
      <c r="I1080" s="245">
        <v>8.8000000000000007</v>
      </c>
      <c r="J1080" s="245">
        <v>15.4</v>
      </c>
      <c r="K1080" s="245">
        <v>18.7</v>
      </c>
      <c r="L1080" s="245">
        <v>20.100000000000001</v>
      </c>
      <c r="M1080" s="245">
        <v>19.399999999999999</v>
      </c>
      <c r="N1080" s="245">
        <v>14.3</v>
      </c>
      <c r="O1080" s="245">
        <v>7.6</v>
      </c>
      <c r="P1080" s="245">
        <v>1.5</v>
      </c>
      <c r="Q1080" s="245">
        <v>-3.1</v>
      </c>
      <c r="R1080" s="246">
        <v>7.6</v>
      </c>
      <c r="S1080" s="233">
        <v>622</v>
      </c>
      <c r="T1080" s="247" t="s">
        <v>2181</v>
      </c>
      <c r="U1080" s="245">
        <v>-30</v>
      </c>
      <c r="V1080" s="245">
        <v>-27</v>
      </c>
      <c r="W1080" s="245">
        <v>-25</v>
      </c>
      <c r="X1080" s="245">
        <v>-23</v>
      </c>
      <c r="Y1080" s="245">
        <v>-11</v>
      </c>
      <c r="Z1080" s="245">
        <v>-34</v>
      </c>
      <c r="AA1080" s="245" t="s">
        <v>956</v>
      </c>
      <c r="AB1080" s="245">
        <v>112</v>
      </c>
      <c r="AC1080" s="245">
        <v>-4.3</v>
      </c>
      <c r="AD1080" s="245">
        <v>177</v>
      </c>
      <c r="AE1080" s="245">
        <v>-1.3</v>
      </c>
      <c r="AF1080" s="245">
        <v>193</v>
      </c>
      <c r="AG1080" s="245">
        <v>-0.5</v>
      </c>
      <c r="AH1080" s="245" t="s">
        <v>956</v>
      </c>
      <c r="AI1080" s="245" t="s">
        <v>956</v>
      </c>
      <c r="AJ1080" s="245">
        <v>215</v>
      </c>
      <c r="AK1080" s="245" t="s">
        <v>982</v>
      </c>
      <c r="AL1080" s="245" t="s">
        <v>931</v>
      </c>
      <c r="AM1080" s="246" t="s">
        <v>931</v>
      </c>
      <c r="AN1080" s="235">
        <v>623</v>
      </c>
      <c r="AO1080" s="247" t="s">
        <v>2182</v>
      </c>
      <c r="AP1080" s="247">
        <v>995</v>
      </c>
      <c r="AQ1080" s="247">
        <v>29</v>
      </c>
      <c r="AR1080" s="247">
        <v>25</v>
      </c>
      <c r="AS1080" s="247">
        <v>26</v>
      </c>
      <c r="AT1080" s="247">
        <v>38</v>
      </c>
      <c r="AU1080" s="247" t="s">
        <v>934</v>
      </c>
      <c r="AV1080" s="247" t="s">
        <v>958</v>
      </c>
      <c r="AW1080" s="247" t="s">
        <v>931</v>
      </c>
      <c r="AX1080" s="247" t="s">
        <v>931</v>
      </c>
      <c r="AY1080" s="247">
        <v>178</v>
      </c>
      <c r="AZ1080" s="247" t="s">
        <v>952</v>
      </c>
      <c r="BA1080" s="248">
        <v>1.7</v>
      </c>
      <c r="BB1080" s="235"/>
      <c r="BC1080" s="247" t="s">
        <v>2181</v>
      </c>
      <c r="BD1080" s="247"/>
      <c r="BE1080" s="247"/>
      <c r="BF1080" s="247"/>
      <c r="BG1080" s="247"/>
      <c r="BH1080" s="247"/>
      <c r="BI1080" s="247"/>
      <c r="BJ1080" s="247"/>
      <c r="BK1080" s="247"/>
      <c r="BL1080" s="247"/>
      <c r="BM1080" s="247"/>
      <c r="BN1080" s="247"/>
      <c r="BO1080" s="247"/>
      <c r="BP1080" s="248"/>
    </row>
    <row r="1081" spans="1:68" ht="14.25" customHeight="1">
      <c r="A1081" s="233">
        <v>424</v>
      </c>
      <c r="B1081" s="234">
        <v>391</v>
      </c>
      <c r="C1081" s="244" t="s">
        <v>928</v>
      </c>
      <c r="D1081" s="244" t="s">
        <v>2183</v>
      </c>
      <c r="E1081" s="244" t="s">
        <v>2184</v>
      </c>
      <c r="F1081" s="245">
        <v>-12.4</v>
      </c>
      <c r="G1081" s="245">
        <v>-11.7</v>
      </c>
      <c r="H1081" s="245">
        <v>-5.8</v>
      </c>
      <c r="I1081" s="245">
        <v>4.4000000000000004</v>
      </c>
      <c r="J1081" s="245">
        <v>12.9</v>
      </c>
      <c r="K1081" s="245">
        <v>17.2</v>
      </c>
      <c r="L1081" s="245">
        <v>19</v>
      </c>
      <c r="M1081" s="245">
        <v>17.2</v>
      </c>
      <c r="N1081" s="245">
        <v>11.2</v>
      </c>
      <c r="O1081" s="245">
        <v>3.6</v>
      </c>
      <c r="P1081" s="245">
        <v>-3.3</v>
      </c>
      <c r="Q1081" s="245">
        <v>-9.4</v>
      </c>
      <c r="R1081" s="246">
        <v>3.6</v>
      </c>
      <c r="S1081" s="233">
        <v>391</v>
      </c>
      <c r="T1081" s="247" t="s">
        <v>2185</v>
      </c>
      <c r="U1081" s="245">
        <v>-40</v>
      </c>
      <c r="V1081" s="245">
        <v>-36</v>
      </c>
      <c r="W1081" s="245">
        <v>-35</v>
      </c>
      <c r="X1081" s="245">
        <v>-31</v>
      </c>
      <c r="Y1081" s="245">
        <v>-17</v>
      </c>
      <c r="Z1081" s="245">
        <v>-45</v>
      </c>
      <c r="AA1081" s="245">
        <v>7.4</v>
      </c>
      <c r="AB1081" s="245">
        <v>152</v>
      </c>
      <c r="AC1081" s="245">
        <v>-8</v>
      </c>
      <c r="AD1081" s="245">
        <v>212</v>
      </c>
      <c r="AE1081" s="245">
        <v>-4.5999999999999996</v>
      </c>
      <c r="AF1081" s="245">
        <v>227</v>
      </c>
      <c r="AG1081" s="245">
        <v>-3.7</v>
      </c>
      <c r="AH1081" s="245">
        <v>84</v>
      </c>
      <c r="AI1081" s="245">
        <v>82</v>
      </c>
      <c r="AJ1081" s="245">
        <v>192</v>
      </c>
      <c r="AK1081" s="245" t="s">
        <v>971</v>
      </c>
      <c r="AL1081" s="245">
        <v>6.4</v>
      </c>
      <c r="AM1081" s="246">
        <v>4.9000000000000004</v>
      </c>
      <c r="AN1081" s="235">
        <v>391</v>
      </c>
      <c r="AO1081" s="247" t="s">
        <v>2186</v>
      </c>
      <c r="AP1081" s="247">
        <v>995</v>
      </c>
      <c r="AQ1081" s="247">
        <v>23.3</v>
      </c>
      <c r="AR1081" s="247">
        <v>26.5</v>
      </c>
      <c r="AS1081" s="247">
        <v>24.7</v>
      </c>
      <c r="AT1081" s="247">
        <v>38</v>
      </c>
      <c r="AU1081" s="247">
        <v>11.2</v>
      </c>
      <c r="AV1081" s="247">
        <v>72</v>
      </c>
      <c r="AW1081" s="247">
        <v>56</v>
      </c>
      <c r="AX1081" s="247">
        <v>383</v>
      </c>
      <c r="AY1081" s="247">
        <v>108</v>
      </c>
      <c r="AZ1081" s="247" t="s">
        <v>978</v>
      </c>
      <c r="BA1081" s="248">
        <v>0</v>
      </c>
      <c r="BB1081" s="235">
        <v>355</v>
      </c>
      <c r="BC1081" s="247" t="s">
        <v>2184</v>
      </c>
      <c r="BD1081" s="247">
        <v>2.4</v>
      </c>
      <c r="BE1081" s="247">
        <v>2.4</v>
      </c>
      <c r="BF1081" s="247">
        <v>3.5</v>
      </c>
      <c r="BG1081" s="247">
        <v>6.3</v>
      </c>
      <c r="BH1081" s="247">
        <v>9</v>
      </c>
      <c r="BI1081" s="247">
        <v>12.6</v>
      </c>
      <c r="BJ1081" s="247">
        <v>15.3</v>
      </c>
      <c r="BK1081" s="247">
        <v>14</v>
      </c>
      <c r="BL1081" s="247">
        <v>10.1</v>
      </c>
      <c r="BM1081" s="247">
        <v>6.6</v>
      </c>
      <c r="BN1081" s="247">
        <v>4.5</v>
      </c>
      <c r="BO1081" s="247">
        <v>3.1</v>
      </c>
      <c r="BP1081" s="248">
        <v>7.5</v>
      </c>
    </row>
    <row r="1082" spans="1:68" ht="14.25" customHeight="1">
      <c r="A1082" s="233">
        <v>425</v>
      </c>
      <c r="B1082" s="234">
        <v>297</v>
      </c>
      <c r="C1082" s="244" t="s">
        <v>928</v>
      </c>
      <c r="D1082" s="244" t="s">
        <v>992</v>
      </c>
      <c r="E1082" s="244" t="s">
        <v>2187</v>
      </c>
      <c r="F1082" s="245">
        <v>-17.3</v>
      </c>
      <c r="G1082" s="245">
        <v>-14.4</v>
      </c>
      <c r="H1082" s="245">
        <v>-8</v>
      </c>
      <c r="I1082" s="245">
        <v>-0.3</v>
      </c>
      <c r="J1082" s="245">
        <v>4.4000000000000004</v>
      </c>
      <c r="K1082" s="245">
        <v>8.9</v>
      </c>
      <c r="L1082" s="245">
        <v>13.6</v>
      </c>
      <c r="M1082" s="245">
        <v>15.7</v>
      </c>
      <c r="N1082" s="245">
        <v>12.2</v>
      </c>
      <c r="O1082" s="245">
        <v>5.0999999999999996</v>
      </c>
      <c r="P1082" s="245">
        <v>-4.8</v>
      </c>
      <c r="Q1082" s="245">
        <v>-13.5</v>
      </c>
      <c r="R1082" s="246">
        <v>0.1</v>
      </c>
      <c r="S1082" s="233">
        <v>297</v>
      </c>
      <c r="T1082" s="247" t="s">
        <v>2188</v>
      </c>
      <c r="U1082" s="245">
        <v>-34</v>
      </c>
      <c r="V1082" s="245">
        <v>-31</v>
      </c>
      <c r="W1082" s="245">
        <v>-30</v>
      </c>
      <c r="X1082" s="245">
        <v>-28</v>
      </c>
      <c r="Y1082" s="245">
        <v>-22</v>
      </c>
      <c r="Z1082" s="245">
        <v>-40</v>
      </c>
      <c r="AA1082" s="245">
        <v>9.5</v>
      </c>
      <c r="AB1082" s="245">
        <v>168</v>
      </c>
      <c r="AC1082" s="245">
        <v>-10.199999999999999</v>
      </c>
      <c r="AD1082" s="245">
        <v>249</v>
      </c>
      <c r="AE1082" s="245">
        <v>-5.5</v>
      </c>
      <c r="AF1082" s="245">
        <v>271</v>
      </c>
      <c r="AG1082" s="245">
        <v>-4.4000000000000004</v>
      </c>
      <c r="AH1082" s="245">
        <v>69</v>
      </c>
      <c r="AI1082" s="245">
        <v>64</v>
      </c>
      <c r="AJ1082" s="245">
        <v>194</v>
      </c>
      <c r="AK1082" s="245" t="s">
        <v>996</v>
      </c>
      <c r="AL1082" s="245">
        <v>4.8</v>
      </c>
      <c r="AM1082" s="246">
        <v>3.7</v>
      </c>
      <c r="AN1082" s="235">
        <v>291</v>
      </c>
      <c r="AO1082" s="247" t="s">
        <v>2189</v>
      </c>
      <c r="AP1082" s="247">
        <v>1010</v>
      </c>
      <c r="AQ1082" s="247">
        <v>16.3</v>
      </c>
      <c r="AR1082" s="247">
        <v>20.3</v>
      </c>
      <c r="AS1082" s="247">
        <v>19.399999999999999</v>
      </c>
      <c r="AT1082" s="247">
        <v>36</v>
      </c>
      <c r="AU1082" s="247">
        <v>7</v>
      </c>
      <c r="AV1082" s="247">
        <v>87</v>
      </c>
      <c r="AW1082" s="247">
        <v>83</v>
      </c>
      <c r="AX1082" s="247">
        <v>598</v>
      </c>
      <c r="AY1082" s="247">
        <v>135</v>
      </c>
      <c r="AZ1082" s="247" t="s">
        <v>973</v>
      </c>
      <c r="BA1082" s="248">
        <v>0</v>
      </c>
      <c r="BB1082" s="235">
        <v>262</v>
      </c>
      <c r="BC1082" s="247" t="s">
        <v>2187</v>
      </c>
      <c r="BD1082" s="247">
        <v>1.3</v>
      </c>
      <c r="BE1082" s="247">
        <v>1.5</v>
      </c>
      <c r="BF1082" s="247">
        <v>2.6</v>
      </c>
      <c r="BG1082" s="247">
        <v>4.8</v>
      </c>
      <c r="BH1082" s="247">
        <v>6.9</v>
      </c>
      <c r="BI1082" s="247">
        <v>10.1</v>
      </c>
      <c r="BJ1082" s="247">
        <v>14</v>
      </c>
      <c r="BK1082" s="247">
        <v>15.3</v>
      </c>
      <c r="BL1082" s="247">
        <v>11.5</v>
      </c>
      <c r="BM1082" s="247">
        <v>6.7</v>
      </c>
      <c r="BN1082" s="247">
        <v>3.3</v>
      </c>
      <c r="BO1082" s="247">
        <v>1.8</v>
      </c>
      <c r="BP1082" s="248">
        <v>6.7</v>
      </c>
    </row>
    <row r="1083" spans="1:68" ht="14.25" customHeight="1">
      <c r="A1083" s="233">
        <v>426</v>
      </c>
      <c r="B1083" s="234">
        <v>266</v>
      </c>
      <c r="C1083" s="244" t="s">
        <v>928</v>
      </c>
      <c r="D1083" s="244" t="s">
        <v>941</v>
      </c>
      <c r="E1083" s="244" t="s">
        <v>2190</v>
      </c>
      <c r="F1083" s="245">
        <v>-10.6</v>
      </c>
      <c r="G1083" s="245">
        <v>-8</v>
      </c>
      <c r="H1083" s="245">
        <v>-1.6</v>
      </c>
      <c r="I1083" s="245">
        <v>5.3</v>
      </c>
      <c r="J1083" s="245">
        <v>10.5</v>
      </c>
      <c r="K1083" s="245">
        <v>14.3</v>
      </c>
      <c r="L1083" s="245">
        <v>18.8</v>
      </c>
      <c r="M1083" s="245">
        <v>20.9</v>
      </c>
      <c r="N1083" s="245">
        <v>16.600000000000001</v>
      </c>
      <c r="O1083" s="245">
        <v>9.6</v>
      </c>
      <c r="P1083" s="245">
        <v>0.3</v>
      </c>
      <c r="Q1083" s="245">
        <v>-7.8</v>
      </c>
      <c r="R1083" s="246">
        <v>5.7</v>
      </c>
      <c r="S1083" s="233">
        <v>266</v>
      </c>
      <c r="T1083" s="247" t="s">
        <v>2191</v>
      </c>
      <c r="U1083" s="245">
        <v>-23</v>
      </c>
      <c r="V1083" s="245">
        <v>-22</v>
      </c>
      <c r="W1083" s="245">
        <v>-20</v>
      </c>
      <c r="X1083" s="245">
        <v>-19</v>
      </c>
      <c r="Y1083" s="245">
        <v>-16</v>
      </c>
      <c r="Z1083" s="245">
        <v>-27</v>
      </c>
      <c r="AA1083" s="245">
        <v>8.4</v>
      </c>
      <c r="AB1083" s="245">
        <v>126</v>
      </c>
      <c r="AC1083" s="245">
        <v>-6.5</v>
      </c>
      <c r="AD1083" s="245">
        <v>192</v>
      </c>
      <c r="AE1083" s="245">
        <v>-2.9</v>
      </c>
      <c r="AF1083" s="245">
        <v>211</v>
      </c>
      <c r="AG1083" s="245">
        <v>-1.8</v>
      </c>
      <c r="AH1083" s="245">
        <v>52</v>
      </c>
      <c r="AI1083" s="245">
        <v>46</v>
      </c>
      <c r="AJ1083" s="245">
        <v>66</v>
      </c>
      <c r="AK1083" s="245" t="s">
        <v>950</v>
      </c>
      <c r="AL1083" s="245" t="s">
        <v>931</v>
      </c>
      <c r="AM1083" s="246">
        <v>5</v>
      </c>
      <c r="AN1083" s="235">
        <v>266</v>
      </c>
      <c r="AO1083" s="247" t="s">
        <v>2192</v>
      </c>
      <c r="AP1083" s="247">
        <v>1005</v>
      </c>
      <c r="AQ1083" s="247">
        <v>22.3</v>
      </c>
      <c r="AR1083" s="247">
        <v>26.5</v>
      </c>
      <c r="AS1083" s="247">
        <v>24.7</v>
      </c>
      <c r="AT1083" s="247">
        <v>36</v>
      </c>
      <c r="AU1083" s="247">
        <v>6.3</v>
      </c>
      <c r="AV1083" s="247">
        <v>87</v>
      </c>
      <c r="AW1083" s="247">
        <v>84</v>
      </c>
      <c r="AX1083" s="247">
        <v>609</v>
      </c>
      <c r="AY1083" s="247">
        <v>198</v>
      </c>
      <c r="AZ1083" s="247" t="s">
        <v>1038</v>
      </c>
      <c r="BA1083" s="248" t="s">
        <v>934</v>
      </c>
      <c r="BB1083" s="235">
        <v>237</v>
      </c>
      <c r="BC1083" s="247" t="s">
        <v>2190</v>
      </c>
      <c r="BD1083" s="247">
        <v>1.6</v>
      </c>
      <c r="BE1083" s="247">
        <v>2</v>
      </c>
      <c r="BF1083" s="247">
        <v>3.4</v>
      </c>
      <c r="BG1083" s="247">
        <v>5.8</v>
      </c>
      <c r="BH1083" s="247">
        <v>9.3000000000000007</v>
      </c>
      <c r="BI1083" s="247">
        <v>14.3</v>
      </c>
      <c r="BJ1083" s="247">
        <v>19.8</v>
      </c>
      <c r="BK1083" s="247">
        <v>21.6</v>
      </c>
      <c r="BL1083" s="247">
        <v>14.7</v>
      </c>
      <c r="BM1083" s="247">
        <v>8.1999999999999993</v>
      </c>
      <c r="BN1083" s="247">
        <v>4</v>
      </c>
      <c r="BO1083" s="247">
        <v>2</v>
      </c>
      <c r="BP1083" s="248">
        <v>8.9</v>
      </c>
    </row>
    <row r="1084" spans="1:68" ht="14.25" customHeight="1">
      <c r="A1084" s="233">
        <v>427</v>
      </c>
      <c r="B1084" s="234">
        <v>484</v>
      </c>
      <c r="C1084" s="244" t="s">
        <v>1068</v>
      </c>
      <c r="D1084" s="244" t="s">
        <v>1068</v>
      </c>
      <c r="E1084" s="244" t="s">
        <v>2193</v>
      </c>
      <c r="F1084" s="245">
        <v>5.8</v>
      </c>
      <c r="G1084" s="245">
        <v>6.7</v>
      </c>
      <c r="H1084" s="245">
        <v>8.8000000000000007</v>
      </c>
      <c r="I1084" s="245">
        <v>12.6</v>
      </c>
      <c r="J1084" s="245">
        <v>16.399999999999999</v>
      </c>
      <c r="K1084" s="245">
        <v>20.3</v>
      </c>
      <c r="L1084" s="245">
        <v>22.7</v>
      </c>
      <c r="M1084" s="245">
        <v>22.8</v>
      </c>
      <c r="N1084" s="245">
        <v>19.8</v>
      </c>
      <c r="O1084" s="245">
        <v>15.5</v>
      </c>
      <c r="P1084" s="245">
        <v>11.5</v>
      </c>
      <c r="Q1084" s="245">
        <v>7.9</v>
      </c>
      <c r="R1084" s="246">
        <v>14.2</v>
      </c>
      <c r="S1084" s="233">
        <v>484</v>
      </c>
      <c r="T1084" s="247" t="s">
        <v>2194</v>
      </c>
      <c r="U1084" s="245">
        <v>-8</v>
      </c>
      <c r="V1084" s="245">
        <v>-6</v>
      </c>
      <c r="W1084" s="245">
        <v>-6</v>
      </c>
      <c r="X1084" s="245">
        <v>-3</v>
      </c>
      <c r="Y1084" s="245">
        <v>3</v>
      </c>
      <c r="Z1084" s="245">
        <v>-13</v>
      </c>
      <c r="AA1084" s="245">
        <v>6.7</v>
      </c>
      <c r="AB1084" s="245">
        <v>0</v>
      </c>
      <c r="AC1084" s="245" t="s">
        <v>830</v>
      </c>
      <c r="AD1084" s="245">
        <v>82</v>
      </c>
      <c r="AE1084" s="245">
        <v>6.5</v>
      </c>
      <c r="AF1084" s="245">
        <v>119</v>
      </c>
      <c r="AG1084" s="245">
        <v>7.4</v>
      </c>
      <c r="AH1084" s="245" t="s">
        <v>956</v>
      </c>
      <c r="AI1084" s="245">
        <v>64</v>
      </c>
      <c r="AJ1084" s="245">
        <v>723</v>
      </c>
      <c r="AK1084" s="245" t="s">
        <v>982</v>
      </c>
      <c r="AL1084" s="245" t="s">
        <v>931</v>
      </c>
      <c r="AM1084" s="246">
        <v>6.1</v>
      </c>
      <c r="AN1084" s="235">
        <v>484</v>
      </c>
      <c r="AO1084" s="247" t="s">
        <v>2195</v>
      </c>
      <c r="AP1084" s="247" t="s">
        <v>965</v>
      </c>
      <c r="AQ1084" s="247">
        <v>25</v>
      </c>
      <c r="AR1084" s="247">
        <v>32</v>
      </c>
      <c r="AS1084" s="247">
        <v>30.1</v>
      </c>
      <c r="AT1084" s="247">
        <v>39</v>
      </c>
      <c r="AU1084" s="247">
        <v>7.1</v>
      </c>
      <c r="AV1084" s="247">
        <v>84</v>
      </c>
      <c r="AW1084" s="247">
        <v>74</v>
      </c>
      <c r="AX1084" s="247" t="s">
        <v>931</v>
      </c>
      <c r="AY1084" s="247">
        <v>223</v>
      </c>
      <c r="AZ1084" s="247" t="s">
        <v>978</v>
      </c>
      <c r="BA1084" s="248">
        <v>1</v>
      </c>
      <c r="BB1084" s="235"/>
      <c r="BC1084" s="247" t="s">
        <v>2194</v>
      </c>
      <c r="BD1084" s="247"/>
      <c r="BE1084" s="247"/>
      <c r="BF1084" s="247"/>
      <c r="BG1084" s="247"/>
      <c r="BH1084" s="247"/>
      <c r="BI1084" s="247"/>
      <c r="BJ1084" s="247"/>
      <c r="BK1084" s="247"/>
      <c r="BL1084" s="247"/>
      <c r="BM1084" s="247"/>
      <c r="BN1084" s="247"/>
      <c r="BO1084" s="247"/>
      <c r="BP1084" s="248"/>
    </row>
    <row r="1085" spans="1:68" ht="14.25" customHeight="1">
      <c r="A1085" s="233">
        <v>428</v>
      </c>
      <c r="B1085" s="234">
        <v>27</v>
      </c>
      <c r="C1085" s="244" t="s">
        <v>928</v>
      </c>
      <c r="D1085" s="244" t="s">
        <v>1046</v>
      </c>
      <c r="E1085" s="244" t="s">
        <v>2196</v>
      </c>
      <c r="F1085" s="245">
        <v>-26.9</v>
      </c>
      <c r="G1085" s="245">
        <v>-21.6</v>
      </c>
      <c r="H1085" s="245">
        <v>-11.5</v>
      </c>
      <c r="I1085" s="245">
        <v>2.1</v>
      </c>
      <c r="J1085" s="245">
        <v>10.4</v>
      </c>
      <c r="K1085" s="245">
        <v>17.100000000000001</v>
      </c>
      <c r="L1085" s="245">
        <v>20.9</v>
      </c>
      <c r="M1085" s="245">
        <v>18.8</v>
      </c>
      <c r="N1085" s="245">
        <v>11.9</v>
      </c>
      <c r="O1085" s="245">
        <v>1.8</v>
      </c>
      <c r="P1085" s="245">
        <v>-12.4</v>
      </c>
      <c r="Q1085" s="245">
        <v>-23.7</v>
      </c>
      <c r="R1085" s="246">
        <v>-1.1000000000000001</v>
      </c>
      <c r="S1085" s="233">
        <v>27</v>
      </c>
      <c r="T1085" s="247" t="s">
        <v>2197</v>
      </c>
      <c r="U1085" s="245">
        <v>-43</v>
      </c>
      <c r="V1085" s="245">
        <v>-40</v>
      </c>
      <c r="W1085" s="245">
        <v>-39</v>
      </c>
      <c r="X1085" s="245">
        <v>-37</v>
      </c>
      <c r="Y1085" s="245">
        <v>-32</v>
      </c>
      <c r="Z1085" s="245">
        <v>-50</v>
      </c>
      <c r="AA1085" s="245">
        <v>12.5</v>
      </c>
      <c r="AB1085" s="245">
        <v>173</v>
      </c>
      <c r="AC1085" s="245">
        <v>-16.5</v>
      </c>
      <c r="AD1085" s="245">
        <v>222</v>
      </c>
      <c r="AE1085" s="245">
        <v>-11.9</v>
      </c>
      <c r="AF1085" s="245">
        <v>235</v>
      </c>
      <c r="AG1085" s="245">
        <v>-10.7</v>
      </c>
      <c r="AH1085" s="245">
        <v>76</v>
      </c>
      <c r="AI1085" s="245">
        <v>70</v>
      </c>
      <c r="AJ1085" s="245">
        <v>53</v>
      </c>
      <c r="AK1085" s="245" t="s">
        <v>950</v>
      </c>
      <c r="AL1085" s="245">
        <v>3.4</v>
      </c>
      <c r="AM1085" s="246" t="s">
        <v>931</v>
      </c>
      <c r="AN1085" s="235">
        <v>27</v>
      </c>
      <c r="AO1085" s="247" t="s">
        <v>2198</v>
      </c>
      <c r="AP1085" s="247">
        <v>995</v>
      </c>
      <c r="AQ1085" s="247">
        <v>24.2</v>
      </c>
      <c r="AR1085" s="247">
        <v>28.3</v>
      </c>
      <c r="AS1085" s="247">
        <v>26.6</v>
      </c>
      <c r="AT1085" s="247">
        <v>40</v>
      </c>
      <c r="AU1085" s="247">
        <v>11.5</v>
      </c>
      <c r="AV1085" s="247">
        <v>80</v>
      </c>
      <c r="AW1085" s="247">
        <v>64</v>
      </c>
      <c r="AX1085" s="247">
        <v>446</v>
      </c>
      <c r="AY1085" s="247">
        <v>94</v>
      </c>
      <c r="AZ1085" s="247" t="s">
        <v>1038</v>
      </c>
      <c r="BA1085" s="248">
        <v>0</v>
      </c>
      <c r="BB1085" s="235"/>
      <c r="BC1085" s="247" t="s">
        <v>2196</v>
      </c>
      <c r="BD1085" s="247"/>
      <c r="BE1085" s="247"/>
      <c r="BF1085" s="247"/>
      <c r="BG1085" s="247"/>
      <c r="BH1085" s="247"/>
      <c r="BI1085" s="247"/>
      <c r="BJ1085" s="247"/>
      <c r="BK1085" s="247"/>
      <c r="BL1085" s="247"/>
      <c r="BM1085" s="247"/>
      <c r="BN1085" s="247"/>
      <c r="BO1085" s="247"/>
      <c r="BP1085" s="248"/>
    </row>
    <row r="1086" spans="1:68" ht="14.25" customHeight="1">
      <c r="A1086" s="233">
        <v>429</v>
      </c>
      <c r="B1086" s="234">
        <v>267</v>
      </c>
      <c r="C1086" s="244" t="s">
        <v>928</v>
      </c>
      <c r="D1086" s="244" t="s">
        <v>941</v>
      </c>
      <c r="E1086" s="244" t="s">
        <v>2199</v>
      </c>
      <c r="F1086" s="245">
        <v>-8.6999999999999993</v>
      </c>
      <c r="G1086" s="245">
        <v>-6.7</v>
      </c>
      <c r="H1086" s="245">
        <v>-1.4</v>
      </c>
      <c r="I1086" s="245">
        <v>4.2</v>
      </c>
      <c r="J1086" s="245">
        <v>8.4</v>
      </c>
      <c r="K1086" s="245">
        <v>11.8</v>
      </c>
      <c r="L1086" s="245">
        <v>16.600000000000001</v>
      </c>
      <c r="M1086" s="245">
        <v>19.2</v>
      </c>
      <c r="N1086" s="245">
        <v>15.6</v>
      </c>
      <c r="O1086" s="245">
        <v>9.1999999999999993</v>
      </c>
      <c r="P1086" s="245">
        <v>1.1000000000000001</v>
      </c>
      <c r="Q1086" s="245">
        <v>-6.3</v>
      </c>
      <c r="R1086" s="246">
        <v>5.3</v>
      </c>
      <c r="S1086" s="233">
        <v>267</v>
      </c>
      <c r="T1086" s="247" t="s">
        <v>2200</v>
      </c>
      <c r="U1086" s="245">
        <v>-23</v>
      </c>
      <c r="V1086" s="245">
        <v>-21</v>
      </c>
      <c r="W1086" s="245">
        <v>-18</v>
      </c>
      <c r="X1086" s="245">
        <v>-17</v>
      </c>
      <c r="Y1086" s="245">
        <v>-14</v>
      </c>
      <c r="Z1086" s="245">
        <v>-27</v>
      </c>
      <c r="AA1086" s="245">
        <v>9.4</v>
      </c>
      <c r="AB1086" s="245">
        <v>124</v>
      </c>
      <c r="AC1086" s="245">
        <v>-5.4</v>
      </c>
      <c r="AD1086" s="245">
        <v>205</v>
      </c>
      <c r="AE1086" s="245">
        <v>-1.6</v>
      </c>
      <c r="AF1086" s="245">
        <v>230</v>
      </c>
      <c r="AG1086" s="245">
        <v>-0.4</v>
      </c>
      <c r="AH1086" s="245">
        <v>45</v>
      </c>
      <c r="AI1086" s="245">
        <v>40</v>
      </c>
      <c r="AJ1086" s="245">
        <v>120</v>
      </c>
      <c r="AK1086" s="245" t="s">
        <v>996</v>
      </c>
      <c r="AL1086" s="245" t="s">
        <v>931</v>
      </c>
      <c r="AM1086" s="246">
        <v>4.5</v>
      </c>
      <c r="AN1086" s="235">
        <v>267</v>
      </c>
      <c r="AO1086" s="247" t="s">
        <v>2201</v>
      </c>
      <c r="AP1086" s="247">
        <v>1005</v>
      </c>
      <c r="AQ1086" s="247">
        <v>20.399999999999999</v>
      </c>
      <c r="AR1086" s="247">
        <v>24.7</v>
      </c>
      <c r="AS1086" s="247">
        <v>22.8</v>
      </c>
      <c r="AT1086" s="247">
        <v>34</v>
      </c>
      <c r="AU1086" s="247">
        <v>6.5</v>
      </c>
      <c r="AV1086" s="247">
        <v>87</v>
      </c>
      <c r="AW1086" s="247">
        <v>82</v>
      </c>
      <c r="AX1086" s="247">
        <v>617</v>
      </c>
      <c r="AY1086" s="247">
        <v>161</v>
      </c>
      <c r="AZ1086" s="247" t="s">
        <v>1038</v>
      </c>
      <c r="BA1086" s="248" t="s">
        <v>934</v>
      </c>
      <c r="BB1086" s="235">
        <v>238</v>
      </c>
      <c r="BC1086" s="247" t="s">
        <v>2199</v>
      </c>
      <c r="BD1086" s="247">
        <v>1.6</v>
      </c>
      <c r="BE1086" s="247">
        <v>1.9</v>
      </c>
      <c r="BF1086" s="247">
        <v>3.2</v>
      </c>
      <c r="BG1086" s="247">
        <v>5.5</v>
      </c>
      <c r="BH1086" s="247">
        <v>8.1999999999999993</v>
      </c>
      <c r="BI1086" s="247">
        <v>12.2</v>
      </c>
      <c r="BJ1086" s="247">
        <v>17.100000000000001</v>
      </c>
      <c r="BK1086" s="247">
        <v>19.3</v>
      </c>
      <c r="BL1086" s="247">
        <v>13.8</v>
      </c>
      <c r="BM1086" s="247">
        <v>7.9</v>
      </c>
      <c r="BN1086" s="247">
        <v>4</v>
      </c>
      <c r="BO1086" s="247">
        <v>2.1</v>
      </c>
      <c r="BP1086" s="248">
        <v>8.1</v>
      </c>
    </row>
    <row r="1087" spans="1:68" ht="14.25" customHeight="1">
      <c r="A1087" s="233">
        <v>430</v>
      </c>
      <c r="B1087" s="234">
        <v>103</v>
      </c>
      <c r="C1087" s="244" t="s">
        <v>928</v>
      </c>
      <c r="D1087" s="244" t="s">
        <v>1001</v>
      </c>
      <c r="E1087" s="244" t="s">
        <v>2202</v>
      </c>
      <c r="F1087" s="245">
        <v>-29.2</v>
      </c>
      <c r="G1087" s="245">
        <v>-24.2</v>
      </c>
      <c r="H1087" s="245">
        <v>-15.4</v>
      </c>
      <c r="I1087" s="245">
        <v>-3.9</v>
      </c>
      <c r="J1087" s="245">
        <v>5.6</v>
      </c>
      <c r="K1087" s="245">
        <v>14.7</v>
      </c>
      <c r="L1087" s="245">
        <v>17.7</v>
      </c>
      <c r="M1087" s="245">
        <v>13.5</v>
      </c>
      <c r="N1087" s="245">
        <v>5.8</v>
      </c>
      <c r="O1087" s="245">
        <v>-4.0999999999999996</v>
      </c>
      <c r="P1087" s="245">
        <v>-18.600000000000001</v>
      </c>
      <c r="Q1087" s="245">
        <v>-28.4</v>
      </c>
      <c r="R1087" s="246">
        <v>-5.5</v>
      </c>
      <c r="S1087" s="233">
        <v>103</v>
      </c>
      <c r="T1087" s="247" t="s">
        <v>2203</v>
      </c>
      <c r="U1087" s="245">
        <v>-55</v>
      </c>
      <c r="V1087" s="245">
        <v>-53</v>
      </c>
      <c r="W1087" s="245">
        <v>-51</v>
      </c>
      <c r="X1087" s="245">
        <v>-50</v>
      </c>
      <c r="Y1087" s="245">
        <v>-34</v>
      </c>
      <c r="Z1087" s="245">
        <v>-60</v>
      </c>
      <c r="AA1087" s="245">
        <v>10.5</v>
      </c>
      <c r="AB1087" s="245">
        <v>207</v>
      </c>
      <c r="AC1087" s="245">
        <v>-17.8</v>
      </c>
      <c r="AD1087" s="245">
        <v>259</v>
      </c>
      <c r="AE1087" s="245">
        <v>-13.3</v>
      </c>
      <c r="AF1087" s="245">
        <v>274</v>
      </c>
      <c r="AG1087" s="245">
        <v>-12.1</v>
      </c>
      <c r="AH1087" s="245">
        <v>78</v>
      </c>
      <c r="AI1087" s="245">
        <v>77</v>
      </c>
      <c r="AJ1087" s="245">
        <v>124</v>
      </c>
      <c r="AK1087" s="245" t="s">
        <v>931</v>
      </c>
      <c r="AL1087" s="245" t="s">
        <v>931</v>
      </c>
      <c r="AM1087" s="246">
        <v>2.6</v>
      </c>
      <c r="AN1087" s="235">
        <v>103</v>
      </c>
      <c r="AO1087" s="247" t="s">
        <v>2204</v>
      </c>
      <c r="AP1087" s="247">
        <v>975</v>
      </c>
      <c r="AQ1087" s="247">
        <v>22.1</v>
      </c>
      <c r="AR1087" s="247">
        <v>26.3</v>
      </c>
      <c r="AS1087" s="247">
        <v>24.5</v>
      </c>
      <c r="AT1087" s="247">
        <v>36</v>
      </c>
      <c r="AU1087" s="247">
        <v>14.8</v>
      </c>
      <c r="AV1087" s="247">
        <v>72</v>
      </c>
      <c r="AW1087" s="247">
        <v>53</v>
      </c>
      <c r="AX1087" s="247">
        <v>313</v>
      </c>
      <c r="AY1087" s="247">
        <v>56</v>
      </c>
      <c r="AZ1087" s="247" t="s">
        <v>933</v>
      </c>
      <c r="BA1087" s="248" t="s">
        <v>934</v>
      </c>
      <c r="BB1087" s="235">
        <v>87</v>
      </c>
      <c r="BC1087" s="247" t="s">
        <v>2202</v>
      </c>
      <c r="BD1087" s="247">
        <v>0.7</v>
      </c>
      <c r="BE1087" s="247">
        <v>0.8</v>
      </c>
      <c r="BF1087" s="247">
        <v>1.4</v>
      </c>
      <c r="BG1087" s="247">
        <v>3</v>
      </c>
      <c r="BH1087" s="247">
        <v>5.0999999999999996</v>
      </c>
      <c r="BI1087" s="247">
        <v>10</v>
      </c>
      <c r="BJ1087" s="247">
        <v>13.7</v>
      </c>
      <c r="BK1087" s="247">
        <v>11.6</v>
      </c>
      <c r="BL1087" s="247">
        <v>7.1</v>
      </c>
      <c r="BM1087" s="247">
        <v>3.9</v>
      </c>
      <c r="BN1087" s="247">
        <v>1.5</v>
      </c>
      <c r="BO1087" s="247">
        <v>0.8</v>
      </c>
      <c r="BP1087" s="248">
        <v>5</v>
      </c>
    </row>
    <row r="1088" spans="1:68" ht="14.25" customHeight="1">
      <c r="A1088" s="233">
        <v>431</v>
      </c>
      <c r="B1088" s="234">
        <v>166</v>
      </c>
      <c r="C1088" s="244" t="s">
        <v>928</v>
      </c>
      <c r="D1088" s="244" t="s">
        <v>1791</v>
      </c>
      <c r="E1088" s="244" t="s">
        <v>2205</v>
      </c>
      <c r="F1088" s="245">
        <v>-2.5</v>
      </c>
      <c r="G1088" s="245">
        <v>-2.1</v>
      </c>
      <c r="H1088" s="245">
        <v>2.7</v>
      </c>
      <c r="I1088" s="245">
        <v>10.6</v>
      </c>
      <c r="J1088" s="245">
        <v>17.100000000000001</v>
      </c>
      <c r="K1088" s="245">
        <v>21.5</v>
      </c>
      <c r="L1088" s="245">
        <v>24.2</v>
      </c>
      <c r="M1088" s="245">
        <v>23.2</v>
      </c>
      <c r="N1088" s="245">
        <v>17.899999999999999</v>
      </c>
      <c r="O1088" s="245">
        <v>11.1</v>
      </c>
      <c r="P1088" s="245">
        <v>5.0999999999999996</v>
      </c>
      <c r="Q1088" s="245">
        <v>0.2</v>
      </c>
      <c r="R1088" s="246">
        <v>10.8</v>
      </c>
      <c r="S1088" s="233">
        <v>166</v>
      </c>
      <c r="T1088" s="247" t="s">
        <v>2206</v>
      </c>
      <c r="U1088" s="245">
        <v>-27</v>
      </c>
      <c r="V1088" s="245">
        <v>-24</v>
      </c>
      <c r="W1088" s="245">
        <v>-23</v>
      </c>
      <c r="X1088" s="245">
        <v>-20</v>
      </c>
      <c r="Y1088" s="245">
        <v>-14</v>
      </c>
      <c r="Z1088" s="245">
        <v>-30</v>
      </c>
      <c r="AA1088" s="245">
        <v>6</v>
      </c>
      <c r="AB1088" s="245">
        <v>80</v>
      </c>
      <c r="AC1088" s="245">
        <v>-1.9</v>
      </c>
      <c r="AD1088" s="245">
        <v>159</v>
      </c>
      <c r="AE1088" s="245">
        <v>1</v>
      </c>
      <c r="AF1088" s="245">
        <v>175</v>
      </c>
      <c r="AG1088" s="245">
        <v>1.8</v>
      </c>
      <c r="AH1088" s="245">
        <v>85</v>
      </c>
      <c r="AI1088" s="245">
        <v>75</v>
      </c>
      <c r="AJ1088" s="245">
        <v>232</v>
      </c>
      <c r="AK1088" s="245" t="s">
        <v>982</v>
      </c>
      <c r="AL1088" s="245" t="s">
        <v>931</v>
      </c>
      <c r="AM1088" s="246">
        <v>4.3</v>
      </c>
      <c r="AN1088" s="235">
        <v>166</v>
      </c>
      <c r="AO1088" s="247" t="s">
        <v>2207</v>
      </c>
      <c r="AP1088" s="247">
        <v>1015</v>
      </c>
      <c r="AQ1088" s="247">
        <v>25</v>
      </c>
      <c r="AR1088" s="247">
        <v>33</v>
      </c>
      <c r="AS1088" s="247">
        <v>28.4</v>
      </c>
      <c r="AT1088" s="247">
        <v>43</v>
      </c>
      <c r="AU1088" s="247">
        <v>8.4</v>
      </c>
      <c r="AV1088" s="247">
        <v>65</v>
      </c>
      <c r="AW1088" s="247">
        <v>54</v>
      </c>
      <c r="AX1088" s="247">
        <v>345</v>
      </c>
      <c r="AY1088" s="247">
        <v>123</v>
      </c>
      <c r="AZ1088" s="247" t="s">
        <v>959</v>
      </c>
      <c r="BA1088" s="248" t="s">
        <v>934</v>
      </c>
      <c r="BB1088" s="235">
        <v>145</v>
      </c>
      <c r="BC1088" s="247" t="s">
        <v>2205</v>
      </c>
      <c r="BD1088" s="247">
        <v>4.7</v>
      </c>
      <c r="BE1088" s="247">
        <v>5.0999999999999996</v>
      </c>
      <c r="BF1088" s="247">
        <v>6.2</v>
      </c>
      <c r="BG1088" s="247">
        <v>9.4</v>
      </c>
      <c r="BH1088" s="247">
        <v>13.5</v>
      </c>
      <c r="BI1088" s="247">
        <v>17.3</v>
      </c>
      <c r="BJ1088" s="247">
        <v>19.600000000000001</v>
      </c>
      <c r="BK1088" s="247">
        <v>18.600000000000001</v>
      </c>
      <c r="BL1088" s="247">
        <v>14.3</v>
      </c>
      <c r="BM1088" s="247">
        <v>10.199999999999999</v>
      </c>
      <c r="BN1088" s="247">
        <v>7.8</v>
      </c>
      <c r="BO1088" s="247">
        <v>6</v>
      </c>
      <c r="BP1088" s="248">
        <v>11.1</v>
      </c>
    </row>
    <row r="1089" spans="1:68" ht="14.25" customHeight="1">
      <c r="A1089" s="233">
        <v>432</v>
      </c>
      <c r="B1089" s="234">
        <v>272</v>
      </c>
      <c r="C1089" s="244" t="s">
        <v>928</v>
      </c>
      <c r="D1089" s="244" t="s">
        <v>1265</v>
      </c>
      <c r="E1089" s="244" t="s">
        <v>215</v>
      </c>
      <c r="F1089" s="245">
        <v>-7.5</v>
      </c>
      <c r="G1089" s="245">
        <v>-7.5</v>
      </c>
      <c r="H1089" s="245">
        <v>-3.4</v>
      </c>
      <c r="I1089" s="245">
        <v>4.2</v>
      </c>
      <c r="J1089" s="245">
        <v>11.3</v>
      </c>
      <c r="K1089" s="245">
        <v>15.5</v>
      </c>
      <c r="L1089" s="245">
        <v>17.399999999999999</v>
      </c>
      <c r="M1089" s="245">
        <v>15.7</v>
      </c>
      <c r="N1089" s="245">
        <v>10.9</v>
      </c>
      <c r="O1089" s="245">
        <v>5.3</v>
      </c>
      <c r="P1089" s="245">
        <v>0</v>
      </c>
      <c r="Q1089" s="245">
        <v>-4.5</v>
      </c>
      <c r="R1089" s="246">
        <v>4.8</v>
      </c>
      <c r="S1089" s="233">
        <v>272</v>
      </c>
      <c r="T1089" s="247" t="s">
        <v>2208</v>
      </c>
      <c r="U1089" s="245">
        <v>-35</v>
      </c>
      <c r="V1089" s="245">
        <v>-31</v>
      </c>
      <c r="W1089" s="245">
        <v>-30</v>
      </c>
      <c r="X1089" s="245">
        <v>-26</v>
      </c>
      <c r="Y1089" s="245">
        <v>-12</v>
      </c>
      <c r="Z1089" s="245">
        <v>-41</v>
      </c>
      <c r="AA1089" s="245">
        <v>6.1</v>
      </c>
      <c r="AB1089" s="245">
        <v>134</v>
      </c>
      <c r="AC1089" s="245">
        <v>-4.9000000000000004</v>
      </c>
      <c r="AD1089" s="245">
        <v>212</v>
      </c>
      <c r="AE1089" s="245">
        <v>-1.6</v>
      </c>
      <c r="AF1089" s="245">
        <v>232</v>
      </c>
      <c r="AG1089" s="245">
        <v>-0.7</v>
      </c>
      <c r="AH1089" s="245">
        <v>86</v>
      </c>
      <c r="AI1089" s="245">
        <v>81</v>
      </c>
      <c r="AJ1089" s="245">
        <v>179</v>
      </c>
      <c r="AK1089" s="245" t="s">
        <v>963</v>
      </c>
      <c r="AL1089" s="245">
        <v>4.8</v>
      </c>
      <c r="AM1089" s="246">
        <v>3.9</v>
      </c>
      <c r="AN1089" s="235">
        <v>272</v>
      </c>
      <c r="AO1089" s="247" t="s">
        <v>2209</v>
      </c>
      <c r="AP1089" s="247">
        <v>1005</v>
      </c>
      <c r="AQ1089" s="247">
        <v>21.4</v>
      </c>
      <c r="AR1089" s="247">
        <v>24.7</v>
      </c>
      <c r="AS1089" s="247">
        <v>22.9</v>
      </c>
      <c r="AT1089" s="247">
        <v>36</v>
      </c>
      <c r="AU1089" s="247">
        <v>10.7</v>
      </c>
      <c r="AV1089" s="247">
        <v>74</v>
      </c>
      <c r="AW1089" s="247">
        <v>57</v>
      </c>
      <c r="AX1089" s="247">
        <v>424</v>
      </c>
      <c r="AY1089" s="247">
        <v>75</v>
      </c>
      <c r="AZ1089" s="247" t="s">
        <v>952</v>
      </c>
      <c r="BA1089" s="248">
        <v>3.5</v>
      </c>
      <c r="BB1089" s="235">
        <v>243</v>
      </c>
      <c r="BC1089" s="247" t="s">
        <v>215</v>
      </c>
      <c r="BD1089" s="247">
        <v>3.4</v>
      </c>
      <c r="BE1089" s="247">
        <v>3.3</v>
      </c>
      <c r="BF1089" s="247">
        <v>4.0999999999999996</v>
      </c>
      <c r="BG1089" s="247">
        <v>6.2</v>
      </c>
      <c r="BH1089" s="247">
        <v>8.8000000000000007</v>
      </c>
      <c r="BI1089" s="247">
        <v>12.3</v>
      </c>
      <c r="BJ1089" s="247">
        <v>14.6</v>
      </c>
      <c r="BK1089" s="247">
        <v>14.1</v>
      </c>
      <c r="BL1089" s="247">
        <v>10.9</v>
      </c>
      <c r="BM1089" s="247">
        <v>7.8</v>
      </c>
      <c r="BN1089" s="247">
        <v>5.8</v>
      </c>
      <c r="BO1089" s="247">
        <v>4.3</v>
      </c>
      <c r="BP1089" s="248">
        <v>8</v>
      </c>
    </row>
    <row r="1090" spans="1:68" ht="14.25" customHeight="1">
      <c r="A1090" s="233">
        <v>433</v>
      </c>
      <c r="B1090" s="234">
        <v>492</v>
      </c>
      <c r="C1090" s="244" t="s">
        <v>1396</v>
      </c>
      <c r="D1090" s="244" t="s">
        <v>1396</v>
      </c>
      <c r="E1090" s="244" t="s">
        <v>2210</v>
      </c>
      <c r="F1090" s="245">
        <v>-1.3</v>
      </c>
      <c r="G1090" s="245">
        <v>0.4</v>
      </c>
      <c r="H1090" s="245">
        <v>3.9</v>
      </c>
      <c r="I1090" s="245">
        <v>9.3000000000000007</v>
      </c>
      <c r="J1090" s="245">
        <v>13.7</v>
      </c>
      <c r="K1090" s="245">
        <v>16.7</v>
      </c>
      <c r="L1090" s="245">
        <v>19.600000000000001</v>
      </c>
      <c r="M1090" s="245">
        <v>18.8</v>
      </c>
      <c r="N1090" s="245">
        <v>14.7</v>
      </c>
      <c r="O1090" s="245">
        <v>9.4</v>
      </c>
      <c r="P1090" s="245">
        <v>4.8</v>
      </c>
      <c r="Q1090" s="245">
        <v>0.4</v>
      </c>
      <c r="R1090" s="246">
        <v>9.1999999999999993</v>
      </c>
      <c r="S1090" s="233">
        <v>492</v>
      </c>
      <c r="T1090" s="247" t="s">
        <v>2211</v>
      </c>
      <c r="U1090" s="245">
        <v>-17</v>
      </c>
      <c r="V1090" s="245">
        <v>-14</v>
      </c>
      <c r="W1090" s="245">
        <v>-12</v>
      </c>
      <c r="X1090" s="245">
        <v>-10</v>
      </c>
      <c r="Y1090" s="245">
        <v>-4</v>
      </c>
      <c r="Z1090" s="245">
        <v>-27</v>
      </c>
      <c r="AA1090" s="245">
        <v>9.6999999999999993</v>
      </c>
      <c r="AB1090" s="245">
        <v>45</v>
      </c>
      <c r="AC1090" s="245">
        <v>-0.8</v>
      </c>
      <c r="AD1090" s="245">
        <v>165</v>
      </c>
      <c r="AE1090" s="245">
        <v>2.1</v>
      </c>
      <c r="AF1090" s="245">
        <v>190</v>
      </c>
      <c r="AG1090" s="245">
        <v>3</v>
      </c>
      <c r="AH1090" s="245" t="s">
        <v>956</v>
      </c>
      <c r="AI1090" s="245">
        <v>73</v>
      </c>
      <c r="AJ1090" s="245">
        <v>1120</v>
      </c>
      <c r="AK1090" s="245" t="s">
        <v>996</v>
      </c>
      <c r="AL1090" s="245" t="s">
        <v>931</v>
      </c>
      <c r="AM1090" s="246">
        <v>0</v>
      </c>
      <c r="AN1090" s="235">
        <v>492</v>
      </c>
      <c r="AO1090" s="247" t="s">
        <v>2212</v>
      </c>
      <c r="AP1090" s="247">
        <v>935</v>
      </c>
      <c r="AQ1090" s="247">
        <v>29</v>
      </c>
      <c r="AR1090" s="247">
        <v>23</v>
      </c>
      <c r="AS1090" s="247">
        <v>26.3</v>
      </c>
      <c r="AT1090" s="247">
        <v>41</v>
      </c>
      <c r="AU1090" s="247">
        <v>13.6</v>
      </c>
      <c r="AV1090" s="247">
        <v>80</v>
      </c>
      <c r="AW1090" s="247">
        <v>60</v>
      </c>
      <c r="AX1090" s="247" t="s">
        <v>931</v>
      </c>
      <c r="AY1090" s="247">
        <v>155</v>
      </c>
      <c r="AZ1090" s="247" t="s">
        <v>946</v>
      </c>
      <c r="BA1090" s="248">
        <v>0.1</v>
      </c>
      <c r="BB1090" s="235"/>
      <c r="BC1090" s="247" t="s">
        <v>2211</v>
      </c>
      <c r="BD1090" s="247"/>
      <c r="BE1090" s="247"/>
      <c r="BF1090" s="247"/>
      <c r="BG1090" s="247"/>
      <c r="BH1090" s="247"/>
      <c r="BI1090" s="247"/>
      <c r="BJ1090" s="247"/>
      <c r="BK1090" s="247"/>
      <c r="BL1090" s="247"/>
      <c r="BM1090" s="247"/>
      <c r="BN1090" s="247"/>
      <c r="BO1090" s="247"/>
      <c r="BP1090" s="248"/>
    </row>
    <row r="1091" spans="1:68" ht="14.25" customHeight="1">
      <c r="A1091" s="233">
        <v>434</v>
      </c>
      <c r="B1091" s="234">
        <v>221</v>
      </c>
      <c r="C1091" s="244" t="s">
        <v>928</v>
      </c>
      <c r="D1091" s="244" t="s">
        <v>1246</v>
      </c>
      <c r="E1091" s="244" t="s">
        <v>2213</v>
      </c>
      <c r="F1091" s="245">
        <v>-13.4</v>
      </c>
      <c r="G1091" s="245">
        <v>-13.6</v>
      </c>
      <c r="H1091" s="245">
        <v>-9.4</v>
      </c>
      <c r="I1091" s="245">
        <v>-3</v>
      </c>
      <c r="J1091" s="245">
        <v>3.1</v>
      </c>
      <c r="K1091" s="245">
        <v>9.6</v>
      </c>
      <c r="L1091" s="245">
        <v>13.4</v>
      </c>
      <c r="M1091" s="245">
        <v>11.4</v>
      </c>
      <c r="N1091" s="245">
        <v>6</v>
      </c>
      <c r="O1091" s="245">
        <v>-0.3</v>
      </c>
      <c r="P1091" s="245">
        <v>-5.8</v>
      </c>
      <c r="Q1091" s="245">
        <v>-10.1</v>
      </c>
      <c r="R1091" s="246">
        <v>-1</v>
      </c>
      <c r="S1091" s="233">
        <v>221</v>
      </c>
      <c r="T1091" s="247" t="s">
        <v>2214</v>
      </c>
      <c r="U1091" s="245">
        <v>-44</v>
      </c>
      <c r="V1091" s="245">
        <v>-39</v>
      </c>
      <c r="W1091" s="245">
        <v>-40</v>
      </c>
      <c r="X1091" s="245">
        <v>-35</v>
      </c>
      <c r="Y1091" s="245">
        <v>-19</v>
      </c>
      <c r="Z1091" s="245">
        <v>-47</v>
      </c>
      <c r="AA1091" s="245">
        <v>9.3000000000000007</v>
      </c>
      <c r="AB1091" s="245">
        <v>198</v>
      </c>
      <c r="AC1091" s="245">
        <v>-8.3000000000000007</v>
      </c>
      <c r="AD1091" s="245">
        <v>277</v>
      </c>
      <c r="AE1091" s="245">
        <v>-4.8</v>
      </c>
      <c r="AF1091" s="245">
        <v>299</v>
      </c>
      <c r="AG1091" s="245">
        <v>-3.8</v>
      </c>
      <c r="AH1091" s="245">
        <v>84</v>
      </c>
      <c r="AI1091" s="245">
        <v>81</v>
      </c>
      <c r="AJ1091" s="245">
        <v>129</v>
      </c>
      <c r="AK1091" s="245" t="s">
        <v>963</v>
      </c>
      <c r="AL1091" s="245">
        <v>2.5</v>
      </c>
      <c r="AM1091" s="246">
        <v>3</v>
      </c>
      <c r="AN1091" s="235">
        <v>221</v>
      </c>
      <c r="AO1091" s="247" t="s">
        <v>2215</v>
      </c>
      <c r="AP1091" s="247">
        <v>995</v>
      </c>
      <c r="AQ1091" s="247">
        <v>16.100000000000001</v>
      </c>
      <c r="AR1091" s="247">
        <v>20.6</v>
      </c>
      <c r="AS1091" s="247">
        <v>18.5</v>
      </c>
      <c r="AT1091" s="247">
        <v>33</v>
      </c>
      <c r="AU1091" s="247">
        <v>10.1</v>
      </c>
      <c r="AV1091" s="247">
        <v>71</v>
      </c>
      <c r="AW1091" s="247">
        <v>60</v>
      </c>
      <c r="AX1091" s="247">
        <v>319</v>
      </c>
      <c r="AY1091" s="247">
        <v>72</v>
      </c>
      <c r="AZ1091" s="247" t="s">
        <v>1005</v>
      </c>
      <c r="BA1091" s="248">
        <v>0</v>
      </c>
      <c r="BB1091" s="235">
        <v>196</v>
      </c>
      <c r="BC1091" s="247" t="s">
        <v>2213</v>
      </c>
      <c r="BD1091" s="247">
        <v>2.2000000000000002</v>
      </c>
      <c r="BE1091" s="247">
        <v>2.2000000000000002</v>
      </c>
      <c r="BF1091" s="247">
        <v>2.7</v>
      </c>
      <c r="BG1091" s="247">
        <v>3.9</v>
      </c>
      <c r="BH1091" s="247">
        <v>5.2</v>
      </c>
      <c r="BI1091" s="247">
        <v>7.3</v>
      </c>
      <c r="BJ1091" s="247">
        <v>10.6</v>
      </c>
      <c r="BK1091" s="247">
        <v>10.5</v>
      </c>
      <c r="BL1091" s="247">
        <v>7.9</v>
      </c>
      <c r="BM1091" s="247">
        <v>5.4</v>
      </c>
      <c r="BN1091" s="247">
        <v>3.8</v>
      </c>
      <c r="BO1091" s="247">
        <v>2.8</v>
      </c>
      <c r="BP1091" s="248">
        <v>5.4</v>
      </c>
    </row>
    <row r="1092" spans="1:68" ht="14.25" customHeight="1">
      <c r="A1092" s="233">
        <v>435</v>
      </c>
      <c r="B1092" s="234">
        <v>222</v>
      </c>
      <c r="C1092" s="244" t="s">
        <v>928</v>
      </c>
      <c r="D1092" s="244" t="s">
        <v>1246</v>
      </c>
      <c r="E1092" s="244" t="s">
        <v>2216</v>
      </c>
      <c r="F1092" s="245">
        <v>-10</v>
      </c>
      <c r="G1092" s="245">
        <v>-11.2</v>
      </c>
      <c r="H1092" s="245">
        <v>-8.9</v>
      </c>
      <c r="I1092" s="245">
        <v>-3.7</v>
      </c>
      <c r="J1092" s="245">
        <v>1.4</v>
      </c>
      <c r="K1092" s="245">
        <v>6.8</v>
      </c>
      <c r="L1092" s="245">
        <v>10.1</v>
      </c>
      <c r="M1092" s="245">
        <v>9.8000000000000007</v>
      </c>
      <c r="N1092" s="245">
        <v>6.4</v>
      </c>
      <c r="O1092" s="245">
        <v>1.3</v>
      </c>
      <c r="P1092" s="245">
        <v>-2.8</v>
      </c>
      <c r="Q1092" s="245">
        <v>-6.4</v>
      </c>
      <c r="R1092" s="246">
        <v>-0.6</v>
      </c>
      <c r="S1092" s="233">
        <v>222</v>
      </c>
      <c r="T1092" s="247" t="s">
        <v>2217</v>
      </c>
      <c r="U1092" s="245">
        <v>-32</v>
      </c>
      <c r="V1092" s="245">
        <v>-29</v>
      </c>
      <c r="W1092" s="245">
        <v>-28</v>
      </c>
      <c r="X1092" s="245">
        <v>-25</v>
      </c>
      <c r="Y1092" s="245">
        <v>-16</v>
      </c>
      <c r="Z1092" s="245">
        <v>-38</v>
      </c>
      <c r="AA1092" s="245">
        <v>7.2</v>
      </c>
      <c r="AB1092" s="245">
        <v>194</v>
      </c>
      <c r="AC1092" s="245">
        <v>-6.5</v>
      </c>
      <c r="AD1092" s="245">
        <v>298</v>
      </c>
      <c r="AE1092" s="245">
        <v>-2.8</v>
      </c>
      <c r="AF1092" s="245">
        <v>354</v>
      </c>
      <c r="AG1092" s="245">
        <v>-0.9</v>
      </c>
      <c r="AH1092" s="245">
        <v>86</v>
      </c>
      <c r="AI1092" s="245">
        <v>86</v>
      </c>
      <c r="AJ1092" s="245">
        <v>133</v>
      </c>
      <c r="AK1092" s="245" t="s">
        <v>971</v>
      </c>
      <c r="AL1092" s="245" t="s">
        <v>931</v>
      </c>
      <c r="AM1092" s="246">
        <v>5.7</v>
      </c>
      <c r="AN1092" s="235">
        <v>222</v>
      </c>
      <c r="AO1092" s="247" t="s">
        <v>2218</v>
      </c>
      <c r="AP1092" s="247">
        <v>1010</v>
      </c>
      <c r="AQ1092" s="247">
        <v>11.8</v>
      </c>
      <c r="AR1092" s="247">
        <v>16.5</v>
      </c>
      <c r="AS1092" s="247">
        <v>14.2</v>
      </c>
      <c r="AT1092" s="247">
        <v>28</v>
      </c>
      <c r="AU1092" s="247">
        <v>7.6</v>
      </c>
      <c r="AV1092" s="247">
        <v>85</v>
      </c>
      <c r="AW1092" s="247">
        <v>81</v>
      </c>
      <c r="AX1092" s="247">
        <v>331</v>
      </c>
      <c r="AY1092" s="247">
        <v>70</v>
      </c>
      <c r="AZ1092" s="247" t="s">
        <v>940</v>
      </c>
      <c r="BA1092" s="248" t="s">
        <v>934</v>
      </c>
      <c r="BB1092" s="235">
        <v>197</v>
      </c>
      <c r="BC1092" s="247" t="s">
        <v>2216</v>
      </c>
      <c r="BD1092" s="247">
        <v>2.7</v>
      </c>
      <c r="BE1092" s="247">
        <v>2.5</v>
      </c>
      <c r="BF1092" s="247">
        <v>3</v>
      </c>
      <c r="BG1092" s="247">
        <v>4.2</v>
      </c>
      <c r="BH1092" s="247">
        <v>5.6</v>
      </c>
      <c r="BI1092" s="247">
        <v>8.3000000000000007</v>
      </c>
      <c r="BJ1092" s="247">
        <v>10.7</v>
      </c>
      <c r="BK1092" s="247">
        <v>10.5</v>
      </c>
      <c r="BL1092" s="247">
        <v>8.6</v>
      </c>
      <c r="BM1092" s="247">
        <v>6</v>
      </c>
      <c r="BN1092" s="247">
        <v>4.5999999999999996</v>
      </c>
      <c r="BO1092" s="247">
        <v>3.5</v>
      </c>
      <c r="BP1092" s="248">
        <v>5.9</v>
      </c>
    </row>
    <row r="1093" spans="1:68" ht="14.25" customHeight="1">
      <c r="A1093" s="233">
        <v>436</v>
      </c>
      <c r="B1093" s="234">
        <v>308</v>
      </c>
      <c r="C1093" s="244" t="s">
        <v>928</v>
      </c>
      <c r="D1093" s="244" t="s">
        <v>1034</v>
      </c>
      <c r="E1093" s="244" t="s">
        <v>2219</v>
      </c>
      <c r="F1093" s="245">
        <v>-4.2</v>
      </c>
      <c r="G1093" s="245">
        <v>-3</v>
      </c>
      <c r="H1093" s="245">
        <v>1.1000000000000001</v>
      </c>
      <c r="I1093" s="245">
        <v>8.9</v>
      </c>
      <c r="J1093" s="245">
        <v>14.6</v>
      </c>
      <c r="K1093" s="245">
        <v>18.3</v>
      </c>
      <c r="L1093" s="245">
        <v>21.1</v>
      </c>
      <c r="M1093" s="245">
        <v>20.5</v>
      </c>
      <c r="N1093" s="245">
        <v>15.5</v>
      </c>
      <c r="O1093" s="245">
        <v>8.9</v>
      </c>
      <c r="P1093" s="245">
        <v>3.2</v>
      </c>
      <c r="Q1093" s="245">
        <v>-1.4</v>
      </c>
      <c r="R1093" s="246">
        <v>8.6</v>
      </c>
      <c r="S1093" s="233">
        <v>308</v>
      </c>
      <c r="T1093" s="247" t="s">
        <v>2220</v>
      </c>
      <c r="U1093" s="245">
        <v>-26</v>
      </c>
      <c r="V1093" s="245">
        <v>-23</v>
      </c>
      <c r="W1093" s="245">
        <v>-22</v>
      </c>
      <c r="X1093" s="245">
        <v>-20</v>
      </c>
      <c r="Y1093" s="245">
        <v>-7</v>
      </c>
      <c r="Z1093" s="245">
        <v>-33</v>
      </c>
      <c r="AA1093" s="245">
        <v>8.3000000000000007</v>
      </c>
      <c r="AB1093" s="245">
        <v>97</v>
      </c>
      <c r="AC1093" s="245">
        <v>-2.7</v>
      </c>
      <c r="AD1093" s="245">
        <v>175</v>
      </c>
      <c r="AE1093" s="245">
        <v>0.2</v>
      </c>
      <c r="AF1093" s="245">
        <v>191</v>
      </c>
      <c r="AG1093" s="245">
        <v>0.9</v>
      </c>
      <c r="AH1093" s="245">
        <v>83</v>
      </c>
      <c r="AI1093" s="245">
        <v>73</v>
      </c>
      <c r="AJ1093" s="245">
        <v>114</v>
      </c>
      <c r="AK1093" s="245" t="s">
        <v>982</v>
      </c>
      <c r="AL1093" s="245">
        <v>6.3</v>
      </c>
      <c r="AM1093" s="246">
        <v>3.4</v>
      </c>
      <c r="AN1093" s="235">
        <v>308</v>
      </c>
      <c r="AO1093" s="247" t="s">
        <v>2221</v>
      </c>
      <c r="AP1093" s="247">
        <v>990</v>
      </c>
      <c r="AQ1093" s="247">
        <v>24</v>
      </c>
      <c r="AR1093" s="247">
        <v>30</v>
      </c>
      <c r="AS1093" s="247">
        <v>27.1</v>
      </c>
      <c r="AT1093" s="247">
        <v>40</v>
      </c>
      <c r="AU1093" s="247">
        <v>11.7</v>
      </c>
      <c r="AV1093" s="247">
        <v>66</v>
      </c>
      <c r="AW1093" s="247">
        <v>50</v>
      </c>
      <c r="AX1093" s="247">
        <v>425</v>
      </c>
      <c r="AY1093" s="247">
        <v>95</v>
      </c>
      <c r="AZ1093" s="247" t="s">
        <v>952</v>
      </c>
      <c r="BA1093" s="248">
        <v>0</v>
      </c>
      <c r="BB1093" s="235">
        <v>277</v>
      </c>
      <c r="BC1093" s="247" t="s">
        <v>2219</v>
      </c>
      <c r="BD1093" s="247">
        <v>4</v>
      </c>
      <c r="BE1093" s="247">
        <v>4.3</v>
      </c>
      <c r="BF1093" s="247">
        <v>5.4</v>
      </c>
      <c r="BG1093" s="247">
        <v>7.9</v>
      </c>
      <c r="BH1093" s="247">
        <v>11.4</v>
      </c>
      <c r="BI1093" s="247">
        <v>14.3</v>
      </c>
      <c r="BJ1093" s="247">
        <v>16</v>
      </c>
      <c r="BK1093" s="247">
        <v>15.5</v>
      </c>
      <c r="BL1093" s="247">
        <v>12.5</v>
      </c>
      <c r="BM1093" s="247">
        <v>9</v>
      </c>
      <c r="BN1093" s="247">
        <v>6.7</v>
      </c>
      <c r="BO1093" s="247">
        <v>4.8</v>
      </c>
      <c r="BP1093" s="248">
        <v>9.3000000000000007</v>
      </c>
    </row>
    <row r="1094" spans="1:68" ht="14.25" customHeight="1">
      <c r="A1094" s="233">
        <v>437</v>
      </c>
      <c r="B1094" s="234">
        <v>630</v>
      </c>
      <c r="C1094" s="244" t="s">
        <v>953</v>
      </c>
      <c r="D1094" s="244" t="s">
        <v>1565</v>
      </c>
      <c r="E1094" s="244" t="s">
        <v>2222</v>
      </c>
      <c r="F1094" s="245">
        <v>-3.6</v>
      </c>
      <c r="G1094" s="245">
        <v>-2.2999999999999998</v>
      </c>
      <c r="H1094" s="245">
        <v>2.2000000000000002</v>
      </c>
      <c r="I1094" s="245">
        <v>9.6</v>
      </c>
      <c r="J1094" s="245">
        <v>15.7</v>
      </c>
      <c r="K1094" s="245">
        <v>19.3</v>
      </c>
      <c r="L1094" s="245">
        <v>21</v>
      </c>
      <c r="M1094" s="245">
        <v>20.7</v>
      </c>
      <c r="N1094" s="245">
        <v>16.2</v>
      </c>
      <c r="O1094" s="245">
        <v>9.9</v>
      </c>
      <c r="P1094" s="245">
        <v>4</v>
      </c>
      <c r="Q1094" s="245">
        <v>-0.6</v>
      </c>
      <c r="R1094" s="246">
        <v>9.3000000000000007</v>
      </c>
      <c r="S1094" s="233">
        <v>619</v>
      </c>
      <c r="T1094" s="247" t="s">
        <v>2222</v>
      </c>
      <c r="U1094" s="245">
        <v>-24</v>
      </c>
      <c r="V1094" s="245">
        <v>-21</v>
      </c>
      <c r="W1094" s="245">
        <v>-20</v>
      </c>
      <c r="X1094" s="245">
        <v>-17</v>
      </c>
      <c r="Y1094" s="245">
        <v>-7</v>
      </c>
      <c r="Z1094" s="245">
        <v>-29</v>
      </c>
      <c r="AA1094" s="245" t="s">
        <v>956</v>
      </c>
      <c r="AB1094" s="245">
        <v>83</v>
      </c>
      <c r="AC1094" s="245">
        <v>-2.5</v>
      </c>
      <c r="AD1094" s="245">
        <v>164</v>
      </c>
      <c r="AE1094" s="245">
        <v>0.6</v>
      </c>
      <c r="AF1094" s="245">
        <v>181</v>
      </c>
      <c r="AG1094" s="245">
        <v>1.4</v>
      </c>
      <c r="AH1094" s="245" t="s">
        <v>956</v>
      </c>
      <c r="AI1094" s="245" t="s">
        <v>956</v>
      </c>
      <c r="AJ1094" s="245">
        <v>178</v>
      </c>
      <c r="AK1094" s="245" t="s">
        <v>938</v>
      </c>
      <c r="AL1094" s="245" t="s">
        <v>931</v>
      </c>
      <c r="AM1094" s="246" t="s">
        <v>931</v>
      </c>
      <c r="AN1094" s="235">
        <v>620</v>
      </c>
      <c r="AO1094" s="247" t="s">
        <v>2223</v>
      </c>
      <c r="AP1094" s="247">
        <v>1000</v>
      </c>
      <c r="AQ1094" s="247">
        <v>30</v>
      </c>
      <c r="AR1094" s="247">
        <v>26</v>
      </c>
      <c r="AS1094" s="247">
        <v>27</v>
      </c>
      <c r="AT1094" s="247">
        <v>37</v>
      </c>
      <c r="AU1094" s="247" t="s">
        <v>934</v>
      </c>
      <c r="AV1094" s="247" t="s">
        <v>958</v>
      </c>
      <c r="AW1094" s="247" t="s">
        <v>931</v>
      </c>
      <c r="AX1094" s="247" t="s">
        <v>931</v>
      </c>
      <c r="AY1094" s="247">
        <v>106</v>
      </c>
      <c r="AZ1094" s="247" t="s">
        <v>959</v>
      </c>
      <c r="BA1094" s="248">
        <v>1.8</v>
      </c>
      <c r="BB1094" s="235"/>
      <c r="BC1094" s="247" t="s">
        <v>2222</v>
      </c>
      <c r="BD1094" s="247"/>
      <c r="BE1094" s="247"/>
      <c r="BF1094" s="247"/>
      <c r="BG1094" s="247"/>
      <c r="BH1094" s="247"/>
      <c r="BI1094" s="247"/>
      <c r="BJ1094" s="247"/>
      <c r="BK1094" s="247"/>
      <c r="BL1094" s="247"/>
      <c r="BM1094" s="247"/>
      <c r="BN1094" s="247"/>
      <c r="BO1094" s="247"/>
      <c r="BP1094" s="248"/>
    </row>
    <row r="1095" spans="1:68" ht="14.25" customHeight="1">
      <c r="A1095" s="233">
        <v>438</v>
      </c>
      <c r="B1095" s="234">
        <v>137</v>
      </c>
      <c r="C1095" s="244" t="s">
        <v>928</v>
      </c>
      <c r="D1095" s="244" t="s">
        <v>1680</v>
      </c>
      <c r="E1095" s="244" t="s">
        <v>2224</v>
      </c>
      <c r="F1095" s="245">
        <v>-11.9</v>
      </c>
      <c r="G1095" s="245">
        <v>-11.8</v>
      </c>
      <c r="H1095" s="245">
        <v>-7.6</v>
      </c>
      <c r="I1095" s="245">
        <v>-0.5</v>
      </c>
      <c r="J1095" s="245">
        <v>6.1</v>
      </c>
      <c r="K1095" s="245">
        <v>12.9</v>
      </c>
      <c r="L1095" s="245">
        <v>16</v>
      </c>
      <c r="M1095" s="245">
        <v>13.7</v>
      </c>
      <c r="N1095" s="245">
        <v>8</v>
      </c>
      <c r="O1095" s="245">
        <v>1.6</v>
      </c>
      <c r="P1095" s="245">
        <v>-3.5</v>
      </c>
      <c r="Q1095" s="245">
        <v>-8.6</v>
      </c>
      <c r="R1095" s="246">
        <v>1.2</v>
      </c>
      <c r="S1095" s="233">
        <v>137</v>
      </c>
      <c r="T1095" s="247" t="s">
        <v>2225</v>
      </c>
      <c r="U1095" s="245">
        <v>-40</v>
      </c>
      <c r="V1095" s="245">
        <v>-37</v>
      </c>
      <c r="W1095" s="245">
        <v>-35</v>
      </c>
      <c r="X1095" s="245">
        <v>-32</v>
      </c>
      <c r="Y1095" s="245">
        <v>-17</v>
      </c>
      <c r="Z1095" s="245">
        <v>-45</v>
      </c>
      <c r="AA1095" s="245">
        <v>7.8</v>
      </c>
      <c r="AB1095" s="245">
        <v>174</v>
      </c>
      <c r="AC1095" s="245">
        <v>-7.5</v>
      </c>
      <c r="AD1095" s="245">
        <v>251</v>
      </c>
      <c r="AE1095" s="245">
        <v>-4</v>
      </c>
      <c r="AF1095" s="245">
        <v>271</v>
      </c>
      <c r="AG1095" s="245">
        <v>-3</v>
      </c>
      <c r="AH1095" s="245">
        <v>86</v>
      </c>
      <c r="AI1095" s="245">
        <v>86</v>
      </c>
      <c r="AJ1095" s="245">
        <v>166</v>
      </c>
      <c r="AK1095" s="245" t="s">
        <v>971</v>
      </c>
      <c r="AL1095" s="245" t="s">
        <v>931</v>
      </c>
      <c r="AM1095" s="246">
        <v>3.2</v>
      </c>
      <c r="AN1095" s="235">
        <v>137</v>
      </c>
      <c r="AO1095" s="247" t="s">
        <v>2226</v>
      </c>
      <c r="AP1095" s="247">
        <v>990</v>
      </c>
      <c r="AQ1095" s="247">
        <v>18.2</v>
      </c>
      <c r="AR1095" s="247">
        <v>22.6</v>
      </c>
      <c r="AS1095" s="247">
        <v>20.6</v>
      </c>
      <c r="AT1095" s="247">
        <v>33</v>
      </c>
      <c r="AU1095" s="247">
        <v>8.9</v>
      </c>
      <c r="AV1095" s="247">
        <v>70</v>
      </c>
      <c r="AW1095" s="247">
        <v>58</v>
      </c>
      <c r="AX1095" s="247">
        <v>400</v>
      </c>
      <c r="AY1095" s="247">
        <v>25</v>
      </c>
      <c r="AZ1095" s="247" t="s">
        <v>978</v>
      </c>
      <c r="BA1095" s="248" t="s">
        <v>934</v>
      </c>
      <c r="BB1095" s="235">
        <v>120</v>
      </c>
      <c r="BC1095" s="247" t="s">
        <v>2224</v>
      </c>
      <c r="BD1095" s="247">
        <v>2.5</v>
      </c>
      <c r="BE1095" s="247">
        <v>2.5</v>
      </c>
      <c r="BF1095" s="247">
        <v>3.1</v>
      </c>
      <c r="BG1095" s="247">
        <v>4.4000000000000004</v>
      </c>
      <c r="BH1095" s="247">
        <v>6.3</v>
      </c>
      <c r="BI1095" s="247">
        <v>9.9</v>
      </c>
      <c r="BJ1095" s="247">
        <v>12.4</v>
      </c>
      <c r="BK1095" s="247">
        <v>12.1</v>
      </c>
      <c r="BL1095" s="247">
        <v>9.1999999999999993</v>
      </c>
      <c r="BM1095" s="247">
        <v>6.2</v>
      </c>
      <c r="BN1095" s="247">
        <v>4.5</v>
      </c>
      <c r="BO1095" s="247">
        <v>3.2</v>
      </c>
      <c r="BP1095" s="248">
        <v>6.4</v>
      </c>
    </row>
    <row r="1096" spans="1:68" ht="14.25" customHeight="1">
      <c r="A1096" s="233">
        <v>439</v>
      </c>
      <c r="B1096" s="234">
        <v>569</v>
      </c>
      <c r="C1096" s="249" t="s">
        <v>1074</v>
      </c>
      <c r="D1096" s="249" t="s">
        <v>1415</v>
      </c>
      <c r="E1096" s="244" t="s">
        <v>2227</v>
      </c>
      <c r="F1096" s="245"/>
      <c r="G1096" s="245"/>
      <c r="H1096" s="245"/>
      <c r="I1096" s="245"/>
      <c r="J1096" s="245"/>
      <c r="K1096" s="245"/>
      <c r="L1096" s="245"/>
      <c r="M1096" s="245"/>
      <c r="N1096" s="245"/>
      <c r="O1096" s="245"/>
      <c r="P1096" s="245"/>
      <c r="Q1096" s="245"/>
      <c r="R1096" s="246"/>
      <c r="S1096" s="250">
        <v>569</v>
      </c>
      <c r="T1096" s="247" t="s">
        <v>2227</v>
      </c>
      <c r="U1096" s="245">
        <v>-20</v>
      </c>
      <c r="V1096" s="245">
        <v>-17</v>
      </c>
      <c r="W1096" s="245">
        <v>-16</v>
      </c>
      <c r="X1096" s="245">
        <v>-12</v>
      </c>
      <c r="Y1096" s="245">
        <v>-2</v>
      </c>
      <c r="Z1096" s="245">
        <v>-31</v>
      </c>
      <c r="AA1096" s="245">
        <v>10.5</v>
      </c>
      <c r="AB1096" s="245">
        <v>0</v>
      </c>
      <c r="AC1096" s="245" t="s">
        <v>830</v>
      </c>
      <c r="AD1096" s="245">
        <v>111</v>
      </c>
      <c r="AE1096" s="245">
        <v>3.6</v>
      </c>
      <c r="AF1096" s="245">
        <v>130</v>
      </c>
      <c r="AG1096" s="245">
        <v>4.4000000000000004</v>
      </c>
      <c r="AH1096" s="245" t="s">
        <v>956</v>
      </c>
      <c r="AI1096" s="245">
        <v>58</v>
      </c>
      <c r="AJ1096" s="245">
        <v>90</v>
      </c>
      <c r="AK1096" s="245" t="s">
        <v>990</v>
      </c>
      <c r="AL1096" s="245">
        <v>4.4000000000000004</v>
      </c>
      <c r="AM1096" s="246" t="s">
        <v>931</v>
      </c>
      <c r="AN1096" s="235">
        <v>570</v>
      </c>
      <c r="AO1096" s="247" t="s">
        <v>2228</v>
      </c>
      <c r="AP1096" s="247">
        <v>990</v>
      </c>
      <c r="AQ1096" s="247">
        <v>42</v>
      </c>
      <c r="AR1096" s="247">
        <v>36</v>
      </c>
      <c r="AS1096" s="247">
        <v>39.9</v>
      </c>
      <c r="AT1096" s="247">
        <v>50</v>
      </c>
      <c r="AU1096" s="247">
        <v>18.600000000000001</v>
      </c>
      <c r="AV1096" s="247">
        <v>23</v>
      </c>
      <c r="AW1096" s="247">
        <v>11</v>
      </c>
      <c r="AX1096" s="247">
        <v>38</v>
      </c>
      <c r="AY1096" s="247">
        <v>49</v>
      </c>
      <c r="AZ1096" s="247" t="s">
        <v>1005</v>
      </c>
      <c r="BA1096" s="248">
        <v>2.9</v>
      </c>
      <c r="BB1096" s="235"/>
      <c r="BC1096" s="247" t="s">
        <v>2227</v>
      </c>
      <c r="BD1096" s="247"/>
      <c r="BE1096" s="247"/>
      <c r="BF1096" s="247"/>
      <c r="BG1096" s="247"/>
      <c r="BH1096" s="247"/>
      <c r="BI1096" s="247"/>
      <c r="BJ1096" s="247"/>
      <c r="BK1096" s="247"/>
      <c r="BL1096" s="247"/>
      <c r="BM1096" s="247"/>
      <c r="BN1096" s="247"/>
      <c r="BO1096" s="247"/>
      <c r="BP1096" s="248"/>
    </row>
    <row r="1097" spans="1:68" ht="14.25" customHeight="1">
      <c r="A1097" s="233">
        <v>440</v>
      </c>
      <c r="B1097" s="234">
        <v>316</v>
      </c>
      <c r="C1097" s="244" t="s">
        <v>928</v>
      </c>
      <c r="D1097" s="244" t="s">
        <v>1139</v>
      </c>
      <c r="E1097" s="244" t="s">
        <v>2229</v>
      </c>
      <c r="F1097" s="245">
        <v>-10</v>
      </c>
      <c r="G1097" s="245">
        <v>-8.9</v>
      </c>
      <c r="H1097" s="245">
        <v>-4.2</v>
      </c>
      <c r="I1097" s="245">
        <v>4.0999999999999996</v>
      </c>
      <c r="J1097" s="245">
        <v>11.2</v>
      </c>
      <c r="K1097" s="245">
        <v>15.6</v>
      </c>
      <c r="L1097" s="245">
        <v>17.100000000000001</v>
      </c>
      <c r="M1097" s="245">
        <v>15.8</v>
      </c>
      <c r="N1097" s="245">
        <v>10.3</v>
      </c>
      <c r="O1097" s="245">
        <v>4.0999999999999996</v>
      </c>
      <c r="P1097" s="245">
        <v>-1.4</v>
      </c>
      <c r="Q1097" s="245">
        <v>-6.3</v>
      </c>
      <c r="R1097" s="246">
        <v>4</v>
      </c>
      <c r="S1097" s="233">
        <v>316</v>
      </c>
      <c r="T1097" s="247" t="s">
        <v>2230</v>
      </c>
      <c r="U1097" s="245">
        <v>-37</v>
      </c>
      <c r="V1097" s="245">
        <v>-33</v>
      </c>
      <c r="W1097" s="245">
        <v>-31</v>
      </c>
      <c r="X1097" s="245">
        <v>-28</v>
      </c>
      <c r="Y1097" s="245">
        <v>-15</v>
      </c>
      <c r="Z1097" s="245">
        <v>-47</v>
      </c>
      <c r="AA1097" s="245">
        <v>6.6</v>
      </c>
      <c r="AB1097" s="245">
        <v>144</v>
      </c>
      <c r="AC1097" s="245">
        <v>-6.1</v>
      </c>
      <c r="AD1097" s="245">
        <v>217</v>
      </c>
      <c r="AE1097" s="245">
        <v>-2.7</v>
      </c>
      <c r="AF1097" s="245">
        <v>236</v>
      </c>
      <c r="AG1097" s="245">
        <v>-1.8</v>
      </c>
      <c r="AH1097" s="245">
        <v>85</v>
      </c>
      <c r="AI1097" s="245">
        <v>85</v>
      </c>
      <c r="AJ1097" s="245">
        <v>210</v>
      </c>
      <c r="AK1097" s="245" t="s">
        <v>963</v>
      </c>
      <c r="AL1097" s="245" t="s">
        <v>931</v>
      </c>
      <c r="AM1097" s="246">
        <v>3.6</v>
      </c>
      <c r="AN1097" s="235">
        <v>316</v>
      </c>
      <c r="AO1097" s="247" t="s">
        <v>2231</v>
      </c>
      <c r="AP1097" s="247">
        <v>990</v>
      </c>
      <c r="AQ1097" s="247">
        <v>20.100000000000001</v>
      </c>
      <c r="AR1097" s="247">
        <v>24.4</v>
      </c>
      <c r="AS1097" s="247">
        <v>22.5</v>
      </c>
      <c r="AT1097" s="247">
        <v>36</v>
      </c>
      <c r="AU1097" s="247">
        <v>10.5</v>
      </c>
      <c r="AV1097" s="247">
        <v>77</v>
      </c>
      <c r="AW1097" s="247">
        <v>61</v>
      </c>
      <c r="AX1097" s="247">
        <v>439</v>
      </c>
      <c r="AY1097" s="247">
        <v>70</v>
      </c>
      <c r="AZ1097" s="247" t="s">
        <v>952</v>
      </c>
      <c r="BA1097" s="248" t="s">
        <v>934</v>
      </c>
      <c r="BB1097" s="235">
        <v>284</v>
      </c>
      <c r="BC1097" s="247" t="s">
        <v>2229</v>
      </c>
      <c r="BD1097" s="247">
        <v>2.9</v>
      </c>
      <c r="BE1097" s="247">
        <v>2.9</v>
      </c>
      <c r="BF1097" s="247">
        <v>3.8</v>
      </c>
      <c r="BG1097" s="247">
        <v>6.2</v>
      </c>
      <c r="BH1097" s="247">
        <v>9.1999999999999993</v>
      </c>
      <c r="BI1097" s="247">
        <v>12.7</v>
      </c>
      <c r="BJ1097" s="247">
        <v>15</v>
      </c>
      <c r="BK1097" s="247">
        <v>14.1</v>
      </c>
      <c r="BL1097" s="247">
        <v>10.4</v>
      </c>
      <c r="BM1097" s="247">
        <v>7.1</v>
      </c>
      <c r="BN1097" s="247">
        <v>5.0999999999999996</v>
      </c>
      <c r="BO1097" s="247">
        <v>3.8</v>
      </c>
      <c r="BP1097" s="248">
        <v>7.8</v>
      </c>
    </row>
    <row r="1098" spans="1:68" ht="14.25" customHeight="1">
      <c r="A1098" s="233">
        <v>441</v>
      </c>
      <c r="B1098" s="234">
        <v>634</v>
      </c>
      <c r="C1098" s="244" t="s">
        <v>953</v>
      </c>
      <c r="D1098" s="244" t="s">
        <v>2232</v>
      </c>
      <c r="E1098" s="244" t="s">
        <v>2233</v>
      </c>
      <c r="F1098" s="245">
        <v>-5.4</v>
      </c>
      <c r="G1098" s="245">
        <v>-4</v>
      </c>
      <c r="H1098" s="245">
        <v>0.3</v>
      </c>
      <c r="I1098" s="245">
        <v>7.7</v>
      </c>
      <c r="J1098" s="245">
        <v>13.7</v>
      </c>
      <c r="K1098" s="245">
        <v>16.600000000000001</v>
      </c>
      <c r="L1098" s="245">
        <v>17.8</v>
      </c>
      <c r="M1098" s="245">
        <v>17.2</v>
      </c>
      <c r="N1098" s="245">
        <v>13.1</v>
      </c>
      <c r="O1098" s="245">
        <v>7.7</v>
      </c>
      <c r="P1098" s="245">
        <v>2.2000000000000002</v>
      </c>
      <c r="Q1098" s="245">
        <v>-2.4</v>
      </c>
      <c r="R1098" s="246">
        <v>7</v>
      </c>
      <c r="S1098" s="233">
        <v>623</v>
      </c>
      <c r="T1098" s="247" t="s">
        <v>2233</v>
      </c>
      <c r="U1098" s="245">
        <v>-27</v>
      </c>
      <c r="V1098" s="245">
        <v>-25</v>
      </c>
      <c r="W1098" s="245">
        <v>-22</v>
      </c>
      <c r="X1098" s="245">
        <v>-21</v>
      </c>
      <c r="Y1098" s="245">
        <v>-9</v>
      </c>
      <c r="Z1098" s="245">
        <v>-35</v>
      </c>
      <c r="AA1098" s="245" t="s">
        <v>956</v>
      </c>
      <c r="AB1098" s="245">
        <v>105</v>
      </c>
      <c r="AC1098" s="245">
        <v>-3.5</v>
      </c>
      <c r="AD1098" s="245">
        <v>181</v>
      </c>
      <c r="AE1098" s="245">
        <v>-0.5</v>
      </c>
      <c r="AF1098" s="245">
        <v>200</v>
      </c>
      <c r="AG1098" s="245">
        <v>0.4</v>
      </c>
      <c r="AH1098" s="245" t="s">
        <v>956</v>
      </c>
      <c r="AI1098" s="245" t="s">
        <v>956</v>
      </c>
      <c r="AJ1098" s="245">
        <v>157</v>
      </c>
      <c r="AK1098" s="245" t="s">
        <v>950</v>
      </c>
      <c r="AL1098" s="245" t="s">
        <v>931</v>
      </c>
      <c r="AM1098" s="246" t="s">
        <v>931</v>
      </c>
      <c r="AN1098" s="235">
        <v>624</v>
      </c>
      <c r="AO1098" s="247" t="s">
        <v>2234</v>
      </c>
      <c r="AP1098" s="247">
        <v>1000</v>
      </c>
      <c r="AQ1098" s="247">
        <v>26</v>
      </c>
      <c r="AR1098" s="247">
        <v>22</v>
      </c>
      <c r="AS1098" s="247">
        <v>23.5</v>
      </c>
      <c r="AT1098" s="247">
        <v>37</v>
      </c>
      <c r="AU1098" s="247" t="s">
        <v>934</v>
      </c>
      <c r="AV1098" s="247" t="s">
        <v>958</v>
      </c>
      <c r="AW1098" s="247" t="s">
        <v>931</v>
      </c>
      <c r="AX1098" s="247" t="s">
        <v>931</v>
      </c>
      <c r="AY1098" s="247">
        <v>66</v>
      </c>
      <c r="AZ1098" s="247" t="s">
        <v>952</v>
      </c>
      <c r="BA1098" s="248">
        <v>2.2000000000000002</v>
      </c>
      <c r="BB1098" s="235"/>
      <c r="BC1098" s="247" t="s">
        <v>2233</v>
      </c>
      <c r="BD1098" s="247"/>
      <c r="BE1098" s="247"/>
      <c r="BF1098" s="247"/>
      <c r="BG1098" s="247"/>
      <c r="BH1098" s="247"/>
      <c r="BI1098" s="247"/>
      <c r="BJ1098" s="247"/>
      <c r="BK1098" s="247"/>
      <c r="BL1098" s="247"/>
      <c r="BM1098" s="247"/>
      <c r="BN1098" s="247"/>
      <c r="BO1098" s="247"/>
      <c r="BP1098" s="248"/>
    </row>
    <row r="1099" spans="1:68" ht="14.25" customHeight="1">
      <c r="A1099" s="233">
        <v>442</v>
      </c>
      <c r="B1099" s="234">
        <v>10</v>
      </c>
      <c r="C1099" s="244" t="s">
        <v>928</v>
      </c>
      <c r="D1099" s="244" t="s">
        <v>974</v>
      </c>
      <c r="E1099" s="244" t="s">
        <v>2235</v>
      </c>
      <c r="F1099" s="245">
        <v>-17.7</v>
      </c>
      <c r="G1099" s="245">
        <v>-16.899999999999999</v>
      </c>
      <c r="H1099" s="245">
        <v>-9.8000000000000007</v>
      </c>
      <c r="I1099" s="245">
        <v>3.3</v>
      </c>
      <c r="J1099" s="245">
        <v>12.5</v>
      </c>
      <c r="K1099" s="245">
        <v>18.600000000000001</v>
      </c>
      <c r="L1099" s="245">
        <v>20.5</v>
      </c>
      <c r="M1099" s="245">
        <v>17.399999999999999</v>
      </c>
      <c r="N1099" s="245">
        <v>11.6</v>
      </c>
      <c r="O1099" s="245">
        <v>3</v>
      </c>
      <c r="P1099" s="245">
        <v>-7.4</v>
      </c>
      <c r="Q1099" s="245">
        <v>-15.1</v>
      </c>
      <c r="R1099" s="246">
        <v>1.7</v>
      </c>
      <c r="S1099" s="233">
        <v>10</v>
      </c>
      <c r="T1099" s="247" t="s">
        <v>2236</v>
      </c>
      <c r="U1099" s="245">
        <v>-44</v>
      </c>
      <c r="V1099" s="245">
        <v>-42</v>
      </c>
      <c r="W1099" s="245">
        <v>-41</v>
      </c>
      <c r="X1099" s="245">
        <v>-38</v>
      </c>
      <c r="Y1099" s="245">
        <v>-23</v>
      </c>
      <c r="Z1099" s="245">
        <v>-49</v>
      </c>
      <c r="AA1099" s="245">
        <v>9.6</v>
      </c>
      <c r="AB1099" s="245">
        <v>165</v>
      </c>
      <c r="AC1099" s="245">
        <v>-11.8</v>
      </c>
      <c r="AD1099" s="245">
        <v>215</v>
      </c>
      <c r="AE1099" s="245">
        <v>-8.1</v>
      </c>
      <c r="AF1099" s="245">
        <v>228</v>
      </c>
      <c r="AG1099" s="245">
        <v>-7</v>
      </c>
      <c r="AH1099" s="245">
        <v>80</v>
      </c>
      <c r="AI1099" s="245">
        <v>79</v>
      </c>
      <c r="AJ1099" s="245">
        <v>76</v>
      </c>
      <c r="AK1099" s="245" t="s">
        <v>971</v>
      </c>
      <c r="AL1099" s="245">
        <v>6</v>
      </c>
      <c r="AM1099" s="246">
        <v>4.8</v>
      </c>
      <c r="AN1099" s="235">
        <v>10</v>
      </c>
      <c r="AO1099" s="247" t="s">
        <v>2237</v>
      </c>
      <c r="AP1099" s="247">
        <v>990</v>
      </c>
      <c r="AQ1099" s="247">
        <v>25.1</v>
      </c>
      <c r="AR1099" s="247">
        <v>29.1</v>
      </c>
      <c r="AS1099" s="247">
        <v>27.5</v>
      </c>
      <c r="AT1099" s="247">
        <v>40</v>
      </c>
      <c r="AU1099" s="247">
        <v>13.8</v>
      </c>
      <c r="AV1099" s="247">
        <v>63</v>
      </c>
      <c r="AW1099" s="247">
        <v>45</v>
      </c>
      <c r="AX1099" s="247">
        <v>243</v>
      </c>
      <c r="AY1099" s="247">
        <v>50</v>
      </c>
      <c r="AZ1099" s="247" t="s">
        <v>978</v>
      </c>
      <c r="BA1099" s="248">
        <v>3.3</v>
      </c>
      <c r="BB1099" s="235">
        <v>6</v>
      </c>
      <c r="BC1099" s="247" t="s">
        <v>2235</v>
      </c>
      <c r="BD1099" s="247">
        <v>1.6</v>
      </c>
      <c r="BE1099" s="247">
        <v>1.6</v>
      </c>
      <c r="BF1099" s="247">
        <v>2.9</v>
      </c>
      <c r="BG1099" s="247">
        <v>5.5</v>
      </c>
      <c r="BH1099" s="247">
        <v>7.3</v>
      </c>
      <c r="BI1099" s="247">
        <v>11.3</v>
      </c>
      <c r="BJ1099" s="247">
        <v>14.3</v>
      </c>
      <c r="BK1099" s="247">
        <v>12.3</v>
      </c>
      <c r="BL1099" s="247">
        <v>8.5</v>
      </c>
      <c r="BM1099" s="247">
        <v>5.5</v>
      </c>
      <c r="BN1099" s="247">
        <v>3.3</v>
      </c>
      <c r="BO1099" s="247">
        <v>2</v>
      </c>
      <c r="BP1099" s="248">
        <v>6.3</v>
      </c>
    </row>
    <row r="1100" spans="1:68" ht="14.25" customHeight="1">
      <c r="A1100" s="233">
        <v>443</v>
      </c>
      <c r="B1100" s="234">
        <v>636</v>
      </c>
      <c r="C1100" s="244" t="s">
        <v>953</v>
      </c>
      <c r="D1100" s="244" t="s">
        <v>2238</v>
      </c>
      <c r="E1100" s="244" t="s">
        <v>2239</v>
      </c>
      <c r="F1100" s="245">
        <v>-7.3</v>
      </c>
      <c r="G1100" s="245">
        <v>-6</v>
      </c>
      <c r="H1100" s="245">
        <v>-0.8</v>
      </c>
      <c r="I1100" s="245">
        <v>8</v>
      </c>
      <c r="J1100" s="245">
        <v>14.7</v>
      </c>
      <c r="K1100" s="245">
        <v>17.8</v>
      </c>
      <c r="L1100" s="245">
        <v>19</v>
      </c>
      <c r="M1100" s="245">
        <v>18.100000000000001</v>
      </c>
      <c r="N1100" s="245">
        <v>13.1</v>
      </c>
      <c r="O1100" s="245">
        <v>6.8</v>
      </c>
      <c r="P1100" s="245">
        <v>0.8</v>
      </c>
      <c r="Q1100" s="245">
        <v>-3.8</v>
      </c>
      <c r="R1100" s="246">
        <v>6.7</v>
      </c>
      <c r="S1100" s="233">
        <v>625</v>
      </c>
      <c r="T1100" s="247" t="s">
        <v>2239</v>
      </c>
      <c r="U1100" s="245">
        <v>-29</v>
      </c>
      <c r="V1100" s="245">
        <v>-26</v>
      </c>
      <c r="W1100" s="245">
        <v>-25</v>
      </c>
      <c r="X1100" s="245">
        <v>-23</v>
      </c>
      <c r="Y1100" s="245">
        <v>-11</v>
      </c>
      <c r="Z1100" s="245">
        <v>-34</v>
      </c>
      <c r="AA1100" s="245" t="s">
        <v>956</v>
      </c>
      <c r="AB1100" s="245">
        <v>118</v>
      </c>
      <c r="AC1100" s="245">
        <v>-4.8</v>
      </c>
      <c r="AD1100" s="245">
        <v>184</v>
      </c>
      <c r="AE1100" s="245">
        <v>-1.7</v>
      </c>
      <c r="AF1100" s="245">
        <v>200</v>
      </c>
      <c r="AG1100" s="245">
        <v>-0.8</v>
      </c>
      <c r="AH1100" s="245" t="s">
        <v>956</v>
      </c>
      <c r="AI1100" s="245" t="s">
        <v>956</v>
      </c>
      <c r="AJ1100" s="245">
        <v>237</v>
      </c>
      <c r="AK1100" s="245" t="s">
        <v>982</v>
      </c>
      <c r="AL1100" s="245" t="s">
        <v>931</v>
      </c>
      <c r="AM1100" s="246" t="s">
        <v>931</v>
      </c>
      <c r="AN1100" s="235">
        <v>626</v>
      </c>
      <c r="AO1100" s="247" t="s">
        <v>2240</v>
      </c>
      <c r="AP1100" s="247">
        <v>995</v>
      </c>
      <c r="AQ1100" s="247">
        <v>27</v>
      </c>
      <c r="AR1100" s="247">
        <v>23</v>
      </c>
      <c r="AS1100" s="247">
        <v>24.9</v>
      </c>
      <c r="AT1100" s="247">
        <v>39</v>
      </c>
      <c r="AU1100" s="247" t="s">
        <v>934</v>
      </c>
      <c r="AV1100" s="247" t="s">
        <v>958</v>
      </c>
      <c r="AW1100" s="247" t="s">
        <v>931</v>
      </c>
      <c r="AX1100" s="247" t="s">
        <v>931</v>
      </c>
      <c r="AY1100" s="247">
        <v>86</v>
      </c>
      <c r="AZ1100" s="247" t="s">
        <v>959</v>
      </c>
      <c r="BA1100" s="248">
        <v>1.2</v>
      </c>
      <c r="BB1100" s="235"/>
      <c r="BC1100" s="247" t="s">
        <v>2239</v>
      </c>
      <c r="BD1100" s="247"/>
      <c r="BE1100" s="247"/>
      <c r="BF1100" s="247"/>
      <c r="BG1100" s="247"/>
      <c r="BH1100" s="247"/>
      <c r="BI1100" s="247"/>
      <c r="BJ1100" s="247"/>
      <c r="BK1100" s="247"/>
      <c r="BL1100" s="247"/>
      <c r="BM1100" s="247"/>
      <c r="BN1100" s="247"/>
      <c r="BO1100" s="247"/>
      <c r="BP1100" s="248"/>
    </row>
    <row r="1101" spans="1:68" ht="14.25" customHeight="1">
      <c r="A1101" s="233">
        <v>444</v>
      </c>
      <c r="B1101" s="234">
        <v>274</v>
      </c>
      <c r="C1101" s="244" t="s">
        <v>928</v>
      </c>
      <c r="D1101" s="244" t="s">
        <v>1934</v>
      </c>
      <c r="E1101" s="244" t="s">
        <v>216</v>
      </c>
      <c r="F1101" s="245">
        <v>-5.7</v>
      </c>
      <c r="G1101" s="245">
        <v>-4.8</v>
      </c>
      <c r="H1101" s="245">
        <v>0.6</v>
      </c>
      <c r="I1101" s="245">
        <v>9.4</v>
      </c>
      <c r="J1101" s="245">
        <v>16.2</v>
      </c>
      <c r="K1101" s="245">
        <v>20.2</v>
      </c>
      <c r="L1101" s="245">
        <v>23</v>
      </c>
      <c r="M1101" s="245">
        <v>22.1</v>
      </c>
      <c r="N1101" s="245">
        <v>16.3</v>
      </c>
      <c r="O1101" s="245">
        <v>9.1999999999999993</v>
      </c>
      <c r="P1101" s="245">
        <v>2.5</v>
      </c>
      <c r="Q1101" s="245">
        <v>-2.6</v>
      </c>
      <c r="R1101" s="246">
        <v>8.9</v>
      </c>
      <c r="S1101" s="233">
        <v>274</v>
      </c>
      <c r="T1101" s="247" t="s">
        <v>2241</v>
      </c>
      <c r="U1101" s="245">
        <v>-29</v>
      </c>
      <c r="V1101" s="245">
        <v>-27</v>
      </c>
      <c r="W1101" s="245">
        <v>-25</v>
      </c>
      <c r="X1101" s="245">
        <v>-22</v>
      </c>
      <c r="Y1101" s="245">
        <v>-11</v>
      </c>
      <c r="Z1101" s="245">
        <v>-33</v>
      </c>
      <c r="AA1101" s="245">
        <v>6.1</v>
      </c>
      <c r="AB1101" s="245">
        <v>102</v>
      </c>
      <c r="AC1101" s="245">
        <v>-3.6</v>
      </c>
      <c r="AD1101" s="245">
        <v>171</v>
      </c>
      <c r="AE1101" s="245">
        <v>-0.6</v>
      </c>
      <c r="AF1101" s="245">
        <v>188</v>
      </c>
      <c r="AG1101" s="245">
        <v>0.2</v>
      </c>
      <c r="AH1101" s="245">
        <v>85</v>
      </c>
      <c r="AI1101" s="245">
        <v>77</v>
      </c>
      <c r="AJ1101" s="245">
        <v>219</v>
      </c>
      <c r="AK1101" s="245" t="s">
        <v>982</v>
      </c>
      <c r="AL1101" s="245">
        <v>6.5</v>
      </c>
      <c r="AM1101" s="246">
        <v>4.4000000000000004</v>
      </c>
      <c r="AN1101" s="235">
        <v>274</v>
      </c>
      <c r="AO1101" s="247" t="s">
        <v>2242</v>
      </c>
      <c r="AP1101" s="247">
        <v>1005</v>
      </c>
      <c r="AQ1101" s="247">
        <v>26.1</v>
      </c>
      <c r="AR1101" s="247">
        <v>30</v>
      </c>
      <c r="AS1101" s="247">
        <v>29.1</v>
      </c>
      <c r="AT1101" s="247">
        <v>40</v>
      </c>
      <c r="AU1101" s="247">
        <v>12.2</v>
      </c>
      <c r="AV1101" s="247">
        <v>58</v>
      </c>
      <c r="AW1101" s="247">
        <v>45</v>
      </c>
      <c r="AX1101" s="247">
        <v>336</v>
      </c>
      <c r="AY1101" s="247">
        <v>100</v>
      </c>
      <c r="AZ1101" s="247" t="s">
        <v>1038</v>
      </c>
      <c r="BA1101" s="248">
        <v>3.6</v>
      </c>
      <c r="BB1101" s="235">
        <v>245</v>
      </c>
      <c r="BC1101" s="247" t="s">
        <v>216</v>
      </c>
      <c r="BD1101" s="247">
        <v>4</v>
      </c>
      <c r="BE1101" s="247">
        <v>4.3</v>
      </c>
      <c r="BF1101" s="247">
        <v>5.4</v>
      </c>
      <c r="BG1101" s="247">
        <v>8.1</v>
      </c>
      <c r="BH1101" s="247">
        <v>11.1</v>
      </c>
      <c r="BI1101" s="247">
        <v>14.5</v>
      </c>
      <c r="BJ1101" s="247">
        <v>16</v>
      </c>
      <c r="BK1101" s="247">
        <v>14.9</v>
      </c>
      <c r="BL1101" s="247">
        <v>11.6</v>
      </c>
      <c r="BM1101" s="247">
        <v>8.6999999999999993</v>
      </c>
      <c r="BN1101" s="247">
        <v>6.9</v>
      </c>
      <c r="BO1101" s="247">
        <v>5.2</v>
      </c>
      <c r="BP1101" s="248">
        <v>9.1999999999999993</v>
      </c>
    </row>
    <row r="1102" spans="1:68" ht="14.25" customHeight="1">
      <c r="A1102" s="233">
        <v>445</v>
      </c>
      <c r="B1102" s="234">
        <v>11</v>
      </c>
      <c r="C1102" s="244" t="s">
        <v>928</v>
      </c>
      <c r="D1102" s="244" t="s">
        <v>974</v>
      </c>
      <c r="E1102" s="244" t="s">
        <v>217</v>
      </c>
      <c r="F1102" s="245">
        <v>-17.5</v>
      </c>
      <c r="G1102" s="245">
        <v>-16.399999999999999</v>
      </c>
      <c r="H1102" s="245">
        <v>-8.9</v>
      </c>
      <c r="I1102" s="245">
        <v>3.6</v>
      </c>
      <c r="J1102" s="245">
        <v>12.6</v>
      </c>
      <c r="K1102" s="245">
        <v>18.7</v>
      </c>
      <c r="L1102" s="245">
        <v>20.5</v>
      </c>
      <c r="M1102" s="245">
        <v>17.7</v>
      </c>
      <c r="N1102" s="245">
        <v>11.8</v>
      </c>
      <c r="O1102" s="245">
        <v>3.7</v>
      </c>
      <c r="P1102" s="245">
        <v>-7.1</v>
      </c>
      <c r="Q1102" s="245">
        <v>-14.9</v>
      </c>
      <c r="R1102" s="246">
        <v>2</v>
      </c>
      <c r="S1102" s="233">
        <v>11</v>
      </c>
      <c r="T1102" s="247" t="s">
        <v>2243</v>
      </c>
      <c r="U1102" s="245">
        <v>-44</v>
      </c>
      <c r="V1102" s="245">
        <v>-41</v>
      </c>
      <c r="W1102" s="245">
        <v>-41</v>
      </c>
      <c r="X1102" s="245">
        <v>-38</v>
      </c>
      <c r="Y1102" s="245">
        <v>-23</v>
      </c>
      <c r="Z1102" s="245">
        <v>-49</v>
      </c>
      <c r="AA1102" s="245">
        <v>9.6999999999999993</v>
      </c>
      <c r="AB1102" s="245">
        <v>162</v>
      </c>
      <c r="AC1102" s="245">
        <v>-11</v>
      </c>
      <c r="AD1102" s="245">
        <v>213</v>
      </c>
      <c r="AE1102" s="245">
        <v>-7.4</v>
      </c>
      <c r="AF1102" s="245">
        <v>227</v>
      </c>
      <c r="AG1102" s="245">
        <v>-6.4</v>
      </c>
      <c r="AH1102" s="245">
        <v>80</v>
      </c>
      <c r="AI1102" s="245">
        <v>79</v>
      </c>
      <c r="AJ1102" s="245">
        <v>115</v>
      </c>
      <c r="AK1102" s="245" t="s">
        <v>963</v>
      </c>
      <c r="AL1102" s="245">
        <v>7.9</v>
      </c>
      <c r="AM1102" s="246" t="s">
        <v>931</v>
      </c>
      <c r="AN1102" s="235">
        <v>11</v>
      </c>
      <c r="AO1102" s="247" t="s">
        <v>2244</v>
      </c>
      <c r="AP1102" s="247">
        <v>985</v>
      </c>
      <c r="AQ1102" s="247">
        <v>25.1</v>
      </c>
      <c r="AR1102" s="247">
        <v>29.1</v>
      </c>
      <c r="AS1102" s="247">
        <v>27.4</v>
      </c>
      <c r="AT1102" s="247">
        <v>41</v>
      </c>
      <c r="AU1102" s="247">
        <v>13.5</v>
      </c>
      <c r="AV1102" s="247">
        <v>65</v>
      </c>
      <c r="AW1102" s="247">
        <v>46</v>
      </c>
      <c r="AX1102" s="247">
        <v>255</v>
      </c>
      <c r="AY1102" s="247" t="s">
        <v>965</v>
      </c>
      <c r="AZ1102" s="247" t="s">
        <v>940</v>
      </c>
      <c r="BA1102" s="248">
        <v>0</v>
      </c>
      <c r="BB1102" s="235">
        <v>7</v>
      </c>
      <c r="BC1102" s="247" t="s">
        <v>217</v>
      </c>
      <c r="BD1102" s="247">
        <v>1.6</v>
      </c>
      <c r="BE1102" s="247">
        <v>1.7</v>
      </c>
      <c r="BF1102" s="247">
        <v>3</v>
      </c>
      <c r="BG1102" s="247">
        <v>5.6</v>
      </c>
      <c r="BH1102" s="247">
        <v>8.1999999999999993</v>
      </c>
      <c r="BI1102" s="247">
        <v>12.4</v>
      </c>
      <c r="BJ1102" s="247">
        <v>15.1</v>
      </c>
      <c r="BK1102" s="247">
        <v>12.8</v>
      </c>
      <c r="BL1102" s="247">
        <v>8.6999999999999993</v>
      </c>
      <c r="BM1102" s="247">
        <v>5.6</v>
      </c>
      <c r="BN1102" s="247">
        <v>3.2</v>
      </c>
      <c r="BO1102" s="247">
        <v>2</v>
      </c>
      <c r="BP1102" s="248">
        <v>6.6</v>
      </c>
    </row>
    <row r="1103" spans="1:68" ht="14.25" customHeight="1">
      <c r="A1103" s="233">
        <v>446</v>
      </c>
      <c r="B1103" s="234">
        <v>268</v>
      </c>
      <c r="C1103" s="244" t="s">
        <v>928</v>
      </c>
      <c r="D1103" s="244" t="s">
        <v>941</v>
      </c>
      <c r="E1103" s="244" t="s">
        <v>2245</v>
      </c>
      <c r="F1103" s="245">
        <v>-11.9</v>
      </c>
      <c r="G1103" s="245">
        <v>-9</v>
      </c>
      <c r="H1103" s="245">
        <v>-2.8</v>
      </c>
      <c r="I1103" s="245">
        <v>3.3</v>
      </c>
      <c r="J1103" s="245">
        <v>7.5</v>
      </c>
      <c r="K1103" s="245">
        <v>11.1</v>
      </c>
      <c r="L1103" s="245">
        <v>15.9</v>
      </c>
      <c r="M1103" s="245">
        <v>18.3</v>
      </c>
      <c r="N1103" s="245">
        <v>14.3</v>
      </c>
      <c r="O1103" s="245">
        <v>7.3</v>
      </c>
      <c r="P1103" s="245">
        <v>-1.8</v>
      </c>
      <c r="Q1103" s="245">
        <v>-9.6</v>
      </c>
      <c r="R1103" s="246">
        <v>3.6</v>
      </c>
      <c r="S1103" s="233">
        <v>268</v>
      </c>
      <c r="T1103" s="247" t="s">
        <v>2246</v>
      </c>
      <c r="U1103" s="245">
        <v>-25</v>
      </c>
      <c r="V1103" s="245">
        <v>-23</v>
      </c>
      <c r="W1103" s="245">
        <v>-21</v>
      </c>
      <c r="X1103" s="245">
        <v>-20</v>
      </c>
      <c r="Y1103" s="245">
        <v>-17</v>
      </c>
      <c r="Z1103" s="245">
        <v>-30</v>
      </c>
      <c r="AA1103" s="245">
        <v>10</v>
      </c>
      <c r="AB1103" s="245">
        <v>140</v>
      </c>
      <c r="AC1103" s="245">
        <v>-7.2</v>
      </c>
      <c r="AD1103" s="245">
        <v>219</v>
      </c>
      <c r="AE1103" s="245">
        <v>-3.1</v>
      </c>
      <c r="AF1103" s="245">
        <v>245</v>
      </c>
      <c r="AG1103" s="245">
        <v>-1.8</v>
      </c>
      <c r="AH1103" s="245">
        <v>46</v>
      </c>
      <c r="AI1103" s="245">
        <v>40</v>
      </c>
      <c r="AJ1103" s="245">
        <v>124</v>
      </c>
      <c r="AK1103" s="245" t="s">
        <v>950</v>
      </c>
      <c r="AL1103" s="245">
        <v>9.1</v>
      </c>
      <c r="AM1103" s="246">
        <v>4.0999999999999996</v>
      </c>
      <c r="AN1103" s="235">
        <v>268</v>
      </c>
      <c r="AO1103" s="247" t="s">
        <v>2247</v>
      </c>
      <c r="AP1103" s="247">
        <v>1010</v>
      </c>
      <c r="AQ1103" s="247">
        <v>20</v>
      </c>
      <c r="AR1103" s="247">
        <v>24.3</v>
      </c>
      <c r="AS1103" s="247">
        <v>22.4</v>
      </c>
      <c r="AT1103" s="247">
        <v>38</v>
      </c>
      <c r="AU1103" s="247">
        <v>7.2</v>
      </c>
      <c r="AV1103" s="247">
        <v>86</v>
      </c>
      <c r="AW1103" s="247">
        <v>83</v>
      </c>
      <c r="AX1103" s="247">
        <v>664</v>
      </c>
      <c r="AY1103" s="247">
        <v>175</v>
      </c>
      <c r="AZ1103" s="247" t="s">
        <v>1038</v>
      </c>
      <c r="BA1103" s="248">
        <v>0</v>
      </c>
      <c r="BB1103" s="235">
        <v>239</v>
      </c>
      <c r="BC1103" s="247" t="s">
        <v>2245</v>
      </c>
      <c r="BD1103" s="247">
        <v>1.2</v>
      </c>
      <c r="BE1103" s="247">
        <v>1.6</v>
      </c>
      <c r="BF1103" s="247">
        <v>2.9</v>
      </c>
      <c r="BG1103" s="247">
        <v>5.0999999999999996</v>
      </c>
      <c r="BH1103" s="247">
        <v>7.7</v>
      </c>
      <c r="BI1103" s="247">
        <v>11.4</v>
      </c>
      <c r="BJ1103" s="247">
        <v>16.100000000000001</v>
      </c>
      <c r="BK1103" s="247">
        <v>18.100000000000001</v>
      </c>
      <c r="BL1103" s="247">
        <v>12.6</v>
      </c>
      <c r="BM1103" s="247">
        <v>6.6</v>
      </c>
      <c r="BN1103" s="247">
        <v>3.1</v>
      </c>
      <c r="BO1103" s="247">
        <v>1.6</v>
      </c>
      <c r="BP1103" s="248">
        <v>7.3</v>
      </c>
    </row>
    <row r="1104" spans="1:68" ht="14.25" customHeight="1">
      <c r="A1104" s="233">
        <v>447</v>
      </c>
      <c r="B1104" s="234">
        <v>298</v>
      </c>
      <c r="C1104" s="244" t="s">
        <v>928</v>
      </c>
      <c r="D1104" s="244" t="s">
        <v>992</v>
      </c>
      <c r="E1104" s="244" t="s">
        <v>2248</v>
      </c>
      <c r="F1104" s="245">
        <v>-22.3</v>
      </c>
      <c r="G1104" s="245">
        <v>-20.100000000000001</v>
      </c>
      <c r="H1104" s="245">
        <v>-14.3</v>
      </c>
      <c r="I1104" s="245">
        <v>-4.5999999999999996</v>
      </c>
      <c r="J1104" s="245">
        <v>1.8</v>
      </c>
      <c r="K1104" s="245">
        <v>9.4</v>
      </c>
      <c r="L1104" s="245">
        <v>14.4</v>
      </c>
      <c r="M1104" s="245">
        <v>15.1</v>
      </c>
      <c r="N1104" s="245">
        <v>11.1</v>
      </c>
      <c r="O1104" s="245">
        <v>3.4</v>
      </c>
      <c r="P1104" s="245">
        <v>-6.9</v>
      </c>
      <c r="Q1104" s="245">
        <v>-17.399999999999999</v>
      </c>
      <c r="R1104" s="246">
        <v>-2.5</v>
      </c>
      <c r="S1104" s="233">
        <v>298</v>
      </c>
      <c r="T1104" s="247" t="s">
        <v>2249</v>
      </c>
      <c r="U1104" s="245">
        <v>-38</v>
      </c>
      <c r="V1104" s="245">
        <v>-36</v>
      </c>
      <c r="W1104" s="245">
        <v>-35</v>
      </c>
      <c r="X1104" s="245">
        <v>-33</v>
      </c>
      <c r="Y1104" s="245">
        <v>-27</v>
      </c>
      <c r="Z1104" s="245">
        <v>-45</v>
      </c>
      <c r="AA1104" s="245">
        <v>8.5</v>
      </c>
      <c r="AB1104" s="245">
        <v>193</v>
      </c>
      <c r="AC1104" s="245">
        <v>-13.1</v>
      </c>
      <c r="AD1104" s="245">
        <v>255</v>
      </c>
      <c r="AE1104" s="245">
        <v>-8.9</v>
      </c>
      <c r="AF1104" s="245">
        <v>272</v>
      </c>
      <c r="AG1104" s="245">
        <v>-7.3</v>
      </c>
      <c r="AH1104" s="245">
        <v>84</v>
      </c>
      <c r="AI1104" s="245">
        <v>84</v>
      </c>
      <c r="AJ1104" s="245">
        <v>135</v>
      </c>
      <c r="AK1104" s="245" t="s">
        <v>944</v>
      </c>
      <c r="AL1104" s="245" t="s">
        <v>931</v>
      </c>
      <c r="AM1104" s="246">
        <v>5.3</v>
      </c>
      <c r="AN1104" s="235">
        <v>292</v>
      </c>
      <c r="AO1104" s="247" t="s">
        <v>2250</v>
      </c>
      <c r="AP1104" s="247">
        <v>1010</v>
      </c>
      <c r="AQ1104" s="247">
        <v>16.399999999999999</v>
      </c>
      <c r="AR1104" s="247">
        <v>20.9</v>
      </c>
      <c r="AS1104" s="247">
        <v>18.8</v>
      </c>
      <c r="AT1104" s="247">
        <v>29</v>
      </c>
      <c r="AU1104" s="247">
        <v>6.9</v>
      </c>
      <c r="AV1104" s="247">
        <v>86</v>
      </c>
      <c r="AW1104" s="247">
        <v>80</v>
      </c>
      <c r="AX1104" s="247">
        <v>390</v>
      </c>
      <c r="AY1104" s="247">
        <v>74</v>
      </c>
      <c r="AZ1104" s="247" t="s">
        <v>973</v>
      </c>
      <c r="BA1104" s="248" t="s">
        <v>934</v>
      </c>
      <c r="BB1104" s="235">
        <v>263</v>
      </c>
      <c r="BC1104" s="247" t="s">
        <v>2248</v>
      </c>
      <c r="BD1104" s="247">
        <v>1</v>
      </c>
      <c r="BE1104" s="247">
        <v>1.2</v>
      </c>
      <c r="BF1104" s="247">
        <v>2</v>
      </c>
      <c r="BG1104" s="247">
        <v>3.9</v>
      </c>
      <c r="BH1104" s="247">
        <v>6</v>
      </c>
      <c r="BI1104" s="247">
        <v>10</v>
      </c>
      <c r="BJ1104" s="247">
        <v>14.2</v>
      </c>
      <c r="BK1104" s="247">
        <v>14.9</v>
      </c>
      <c r="BL1104" s="247">
        <v>11.1</v>
      </c>
      <c r="BM1104" s="247">
        <v>6.3</v>
      </c>
      <c r="BN1104" s="247">
        <v>3.1</v>
      </c>
      <c r="BO1104" s="247">
        <v>1.6</v>
      </c>
      <c r="BP1104" s="248">
        <v>6.3</v>
      </c>
    </row>
    <row r="1105" spans="1:68" ht="14.25" customHeight="1">
      <c r="A1105" s="233">
        <v>448</v>
      </c>
      <c r="B1105" s="234">
        <v>276</v>
      </c>
      <c r="C1105" s="244" t="s">
        <v>928</v>
      </c>
      <c r="D1105" s="244" t="s">
        <v>2251</v>
      </c>
      <c r="E1105" s="244" t="s">
        <v>218</v>
      </c>
      <c r="F1105" s="245">
        <v>-11</v>
      </c>
      <c r="G1105" s="245">
        <v>-10</v>
      </c>
      <c r="H1105" s="245">
        <v>-4.7</v>
      </c>
      <c r="I1105" s="245">
        <v>5.2</v>
      </c>
      <c r="J1105" s="245">
        <v>12.9</v>
      </c>
      <c r="K1105" s="245">
        <v>17.3</v>
      </c>
      <c r="L1105" s="245">
        <v>18.5</v>
      </c>
      <c r="M1105" s="245">
        <v>17.2</v>
      </c>
      <c r="N1105" s="245">
        <v>11.6</v>
      </c>
      <c r="O1105" s="245">
        <v>4.4000000000000004</v>
      </c>
      <c r="P1105" s="245">
        <v>-2.2000000000000002</v>
      </c>
      <c r="Q1105" s="245">
        <v>-7</v>
      </c>
      <c r="R1105" s="246">
        <v>4.3</v>
      </c>
      <c r="S1105" s="233">
        <v>276</v>
      </c>
      <c r="T1105" s="247" t="s">
        <v>2252</v>
      </c>
      <c r="U1105" s="245">
        <v>-36</v>
      </c>
      <c r="V1105" s="245">
        <v>-33</v>
      </c>
      <c r="W1105" s="245">
        <v>-30</v>
      </c>
      <c r="X1105" s="245">
        <v>-27</v>
      </c>
      <c r="Y1105" s="245">
        <v>-16</v>
      </c>
      <c r="Z1105" s="245">
        <v>-41</v>
      </c>
      <c r="AA1105" s="245">
        <v>7</v>
      </c>
      <c r="AB1105" s="245">
        <v>145</v>
      </c>
      <c r="AC1105" s="245">
        <v>-6.8</v>
      </c>
      <c r="AD1105" s="245">
        <v>208</v>
      </c>
      <c r="AE1105" s="245">
        <v>-3.5</v>
      </c>
      <c r="AF1105" s="245">
        <v>224</v>
      </c>
      <c r="AG1105" s="245">
        <v>-2.6</v>
      </c>
      <c r="AH1105" s="245">
        <v>83</v>
      </c>
      <c r="AI1105" s="245">
        <v>84</v>
      </c>
      <c r="AJ1105" s="245">
        <v>172</v>
      </c>
      <c r="AK1105" s="245" t="s">
        <v>963</v>
      </c>
      <c r="AL1105" s="245">
        <v>7.3</v>
      </c>
      <c r="AM1105" s="246">
        <v>4.8</v>
      </c>
      <c r="AN1105" s="235">
        <v>276</v>
      </c>
      <c r="AO1105" s="247" t="s">
        <v>2253</v>
      </c>
      <c r="AP1105" s="247">
        <v>1000</v>
      </c>
      <c r="AQ1105" s="247">
        <v>21.7</v>
      </c>
      <c r="AR1105" s="247">
        <v>25.9</v>
      </c>
      <c r="AS1105" s="247">
        <v>24.1</v>
      </c>
      <c r="AT1105" s="247">
        <v>38</v>
      </c>
      <c r="AU1105" s="247">
        <v>10.5</v>
      </c>
      <c r="AV1105" s="247">
        <v>71</v>
      </c>
      <c r="AW1105" s="247">
        <v>54</v>
      </c>
      <c r="AX1105" s="247">
        <v>349</v>
      </c>
      <c r="AY1105" s="247">
        <v>91</v>
      </c>
      <c r="AZ1105" s="247" t="s">
        <v>952</v>
      </c>
      <c r="BA1105" s="248">
        <v>4.0999999999999996</v>
      </c>
      <c r="BB1105" s="235">
        <v>247</v>
      </c>
      <c r="BC1105" s="247" t="s">
        <v>218</v>
      </c>
      <c r="BD1105" s="247">
        <v>2.5</v>
      </c>
      <c r="BE1105" s="247">
        <v>2.7</v>
      </c>
      <c r="BF1105" s="247">
        <v>3.8</v>
      </c>
      <c r="BG1105" s="247">
        <v>6.6</v>
      </c>
      <c r="BH1105" s="247">
        <v>9.4</v>
      </c>
      <c r="BI1105" s="247">
        <v>12.6</v>
      </c>
      <c r="BJ1105" s="247">
        <v>14.9</v>
      </c>
      <c r="BK1105" s="247">
        <v>14.1</v>
      </c>
      <c r="BL1105" s="247">
        <v>10.3</v>
      </c>
      <c r="BM1105" s="247">
        <v>7.1</v>
      </c>
      <c r="BN1105" s="247">
        <v>4.8</v>
      </c>
      <c r="BO1105" s="247">
        <v>3.6</v>
      </c>
      <c r="BP1105" s="248">
        <v>7.7</v>
      </c>
    </row>
    <row r="1106" spans="1:68" ht="14.25" customHeight="1">
      <c r="A1106" s="233">
        <v>449</v>
      </c>
      <c r="B1106" s="234">
        <v>149</v>
      </c>
      <c r="C1106" s="244" t="s">
        <v>928</v>
      </c>
      <c r="D1106" s="244" t="s">
        <v>1704</v>
      </c>
      <c r="E1106" s="244" t="s">
        <v>2254</v>
      </c>
      <c r="F1106" s="245">
        <v>-14</v>
      </c>
      <c r="G1106" s="245">
        <v>-13.2</v>
      </c>
      <c r="H1106" s="245">
        <v>-7.4</v>
      </c>
      <c r="I1106" s="245">
        <v>2.8</v>
      </c>
      <c r="J1106" s="245">
        <v>11.6</v>
      </c>
      <c r="K1106" s="245">
        <v>16.8</v>
      </c>
      <c r="L1106" s="245">
        <v>18.8</v>
      </c>
      <c r="M1106" s="245">
        <v>16.8</v>
      </c>
      <c r="N1106" s="245">
        <v>10.4</v>
      </c>
      <c r="O1106" s="245">
        <v>2.8</v>
      </c>
      <c r="P1106" s="245">
        <v>-5.2</v>
      </c>
      <c r="Q1106" s="245">
        <v>-11.5</v>
      </c>
      <c r="R1106" s="246">
        <v>2.4</v>
      </c>
      <c r="S1106" s="233">
        <v>149</v>
      </c>
      <c r="T1106" s="247" t="s">
        <v>2255</v>
      </c>
      <c r="U1106" s="245">
        <v>-40</v>
      </c>
      <c r="V1106" s="245">
        <v>-37</v>
      </c>
      <c r="W1106" s="245">
        <v>-37</v>
      </c>
      <c r="X1106" s="245">
        <v>-33</v>
      </c>
      <c r="Y1106" s="245">
        <v>-19</v>
      </c>
      <c r="Z1106" s="245">
        <v>-48</v>
      </c>
      <c r="AA1106" s="245">
        <v>7.2</v>
      </c>
      <c r="AB1106" s="245">
        <v>162</v>
      </c>
      <c r="AC1106" s="245">
        <v>-9.1</v>
      </c>
      <c r="AD1106" s="245">
        <v>220</v>
      </c>
      <c r="AE1106" s="245">
        <v>-5.7</v>
      </c>
      <c r="AF1106" s="245">
        <v>235</v>
      </c>
      <c r="AG1106" s="245">
        <v>-4.7</v>
      </c>
      <c r="AH1106" s="245">
        <v>82</v>
      </c>
      <c r="AI1106" s="245">
        <v>80</v>
      </c>
      <c r="AJ1106" s="245">
        <v>229</v>
      </c>
      <c r="AK1106" s="245" t="s">
        <v>971</v>
      </c>
      <c r="AL1106" s="245" t="s">
        <v>931</v>
      </c>
      <c r="AM1106" s="246">
        <v>4.7</v>
      </c>
      <c r="AN1106" s="235">
        <v>149</v>
      </c>
      <c r="AO1106" s="247" t="s">
        <v>2256</v>
      </c>
      <c r="AP1106" s="247">
        <v>1000</v>
      </c>
      <c r="AQ1106" s="247">
        <v>22</v>
      </c>
      <c r="AR1106" s="247">
        <v>26.2</v>
      </c>
      <c r="AS1106" s="247">
        <v>24.4</v>
      </c>
      <c r="AT1106" s="247">
        <v>38</v>
      </c>
      <c r="AU1106" s="247">
        <v>11.5</v>
      </c>
      <c r="AV1106" s="247">
        <v>68</v>
      </c>
      <c r="AW1106" s="247">
        <v>53</v>
      </c>
      <c r="AX1106" s="247">
        <v>381</v>
      </c>
      <c r="AY1106" s="247">
        <v>62</v>
      </c>
      <c r="AZ1106" s="247" t="s">
        <v>959</v>
      </c>
      <c r="BA1106" s="248" t="s">
        <v>934</v>
      </c>
      <c r="BB1106" s="235"/>
      <c r="BC1106" s="247" t="s">
        <v>2254</v>
      </c>
      <c r="BD1106" s="247"/>
      <c r="BE1106" s="247"/>
      <c r="BF1106" s="247"/>
      <c r="BG1106" s="247"/>
      <c r="BH1106" s="247"/>
      <c r="BI1106" s="247"/>
      <c r="BJ1106" s="247"/>
      <c r="BK1106" s="247"/>
      <c r="BL1106" s="247"/>
      <c r="BM1106" s="247"/>
      <c r="BN1106" s="247"/>
      <c r="BO1106" s="247"/>
      <c r="BP1106" s="248"/>
    </row>
    <row r="1107" spans="1:68" ht="14.25" customHeight="1">
      <c r="A1107" s="233">
        <v>450</v>
      </c>
      <c r="B1107" s="234">
        <v>485</v>
      </c>
      <c r="C1107" s="244" t="s">
        <v>1068</v>
      </c>
      <c r="D1107" s="244" t="s">
        <v>1068</v>
      </c>
      <c r="E1107" s="244" t="s">
        <v>2257</v>
      </c>
      <c r="F1107" s="245">
        <v>4.2</v>
      </c>
      <c r="G1107" s="245">
        <v>5.2</v>
      </c>
      <c r="H1107" s="245">
        <v>8.6999999999999993</v>
      </c>
      <c r="I1107" s="245">
        <v>13.8</v>
      </c>
      <c r="J1107" s="245">
        <v>17.899999999999999</v>
      </c>
      <c r="K1107" s="245">
        <v>21.1</v>
      </c>
      <c r="L1107" s="245">
        <v>23.2</v>
      </c>
      <c r="M1107" s="245">
        <v>23.7</v>
      </c>
      <c r="N1107" s="245">
        <v>20.3</v>
      </c>
      <c r="O1107" s="245">
        <v>15.3</v>
      </c>
      <c r="P1107" s="245">
        <v>10.6</v>
      </c>
      <c r="Q1107" s="245">
        <v>6.3</v>
      </c>
      <c r="R1107" s="246">
        <v>14.2</v>
      </c>
      <c r="S1107" s="233">
        <v>485</v>
      </c>
      <c r="T1107" s="247" t="s">
        <v>2258</v>
      </c>
      <c r="U1107" s="245">
        <v>-10</v>
      </c>
      <c r="V1107" s="245">
        <v>-8</v>
      </c>
      <c r="W1107" s="245">
        <v>-8</v>
      </c>
      <c r="X1107" s="245">
        <v>-3</v>
      </c>
      <c r="Y1107" s="245">
        <v>2</v>
      </c>
      <c r="Z1107" s="245">
        <v>-20</v>
      </c>
      <c r="AA1107" s="245">
        <v>7.8</v>
      </c>
      <c r="AB1107" s="245">
        <v>0</v>
      </c>
      <c r="AC1107" s="245" t="s">
        <v>830</v>
      </c>
      <c r="AD1107" s="245">
        <v>98</v>
      </c>
      <c r="AE1107" s="245">
        <v>5.3</v>
      </c>
      <c r="AF1107" s="245">
        <v>125</v>
      </c>
      <c r="AG1107" s="245">
        <v>6.2</v>
      </c>
      <c r="AH1107" s="245" t="s">
        <v>956</v>
      </c>
      <c r="AI1107" s="245">
        <v>61</v>
      </c>
      <c r="AJ1107" s="245">
        <v>604</v>
      </c>
      <c r="AK1107" s="245" t="s">
        <v>982</v>
      </c>
      <c r="AL1107" s="245" t="s">
        <v>931</v>
      </c>
      <c r="AM1107" s="246">
        <v>1.8</v>
      </c>
      <c r="AN1107" s="235">
        <v>485</v>
      </c>
      <c r="AO1107" s="247" t="s">
        <v>2259</v>
      </c>
      <c r="AP1107" s="247">
        <v>1000</v>
      </c>
      <c r="AQ1107" s="247">
        <v>26</v>
      </c>
      <c r="AR1107" s="247">
        <v>33</v>
      </c>
      <c r="AS1107" s="247">
        <v>30.7</v>
      </c>
      <c r="AT1107" s="247">
        <v>42</v>
      </c>
      <c r="AU1107" s="247">
        <v>11.1</v>
      </c>
      <c r="AV1107" s="247">
        <v>74</v>
      </c>
      <c r="AW1107" s="247">
        <v>58</v>
      </c>
      <c r="AX1107" s="247" t="s">
        <v>931</v>
      </c>
      <c r="AY1107" s="247">
        <v>94</v>
      </c>
      <c r="AZ1107" s="247" t="s">
        <v>952</v>
      </c>
      <c r="BA1107" s="248">
        <v>0.3</v>
      </c>
      <c r="BB1107" s="235"/>
      <c r="BC1107" s="247" t="s">
        <v>2258</v>
      </c>
      <c r="BD1107" s="247"/>
      <c r="BE1107" s="247"/>
      <c r="BF1107" s="247"/>
      <c r="BG1107" s="247"/>
      <c r="BH1107" s="247"/>
      <c r="BI1107" s="247"/>
      <c r="BJ1107" s="247"/>
      <c r="BK1107" s="247"/>
      <c r="BL1107" s="247"/>
      <c r="BM1107" s="247"/>
      <c r="BN1107" s="247"/>
      <c r="BO1107" s="247"/>
      <c r="BP1107" s="248"/>
    </row>
    <row r="1108" spans="1:68" ht="14.25" customHeight="1">
      <c r="A1108" s="233">
        <v>451</v>
      </c>
      <c r="B1108" s="234">
        <v>331</v>
      </c>
      <c r="C1108" s="244" t="s">
        <v>928</v>
      </c>
      <c r="D1108" s="244" t="s">
        <v>1161</v>
      </c>
      <c r="E1108" s="244" t="s">
        <v>2260</v>
      </c>
      <c r="F1108" s="245">
        <v>-24.5</v>
      </c>
      <c r="G1108" s="245">
        <v>-23.4</v>
      </c>
      <c r="H1108" s="245">
        <v>-18.600000000000001</v>
      </c>
      <c r="I1108" s="245">
        <v>-10.199999999999999</v>
      </c>
      <c r="J1108" s="245">
        <v>-1.9</v>
      </c>
      <c r="K1108" s="245">
        <v>7.3</v>
      </c>
      <c r="L1108" s="245">
        <v>13.3</v>
      </c>
      <c r="M1108" s="245">
        <v>10.9</v>
      </c>
      <c r="N1108" s="245">
        <v>4.9000000000000004</v>
      </c>
      <c r="O1108" s="245">
        <v>-4.5999999999999996</v>
      </c>
      <c r="P1108" s="245">
        <v>-15.6</v>
      </c>
      <c r="Q1108" s="245">
        <v>-21.5</v>
      </c>
      <c r="R1108" s="246">
        <v>-7</v>
      </c>
      <c r="S1108" s="233">
        <v>331</v>
      </c>
      <c r="T1108" s="247" t="s">
        <v>2261</v>
      </c>
      <c r="U1108" s="245">
        <v>-48</v>
      </c>
      <c r="V1108" s="245">
        <v>-46</v>
      </c>
      <c r="W1108" s="245">
        <v>-43</v>
      </c>
      <c r="X1108" s="245">
        <v>-42</v>
      </c>
      <c r="Y1108" s="245">
        <v>-29</v>
      </c>
      <c r="Z1108" s="245">
        <v>-54</v>
      </c>
      <c r="AA1108" s="245">
        <v>10.199999999999999</v>
      </c>
      <c r="AB1108" s="245">
        <v>233</v>
      </c>
      <c r="AC1108" s="245">
        <v>-15.3</v>
      </c>
      <c r="AD1108" s="245">
        <v>292</v>
      </c>
      <c r="AE1108" s="245">
        <v>-11.4</v>
      </c>
      <c r="AF1108" s="245">
        <v>313</v>
      </c>
      <c r="AG1108" s="245">
        <v>-10</v>
      </c>
      <c r="AH1108" s="245">
        <v>84</v>
      </c>
      <c r="AI1108" s="245">
        <v>84</v>
      </c>
      <c r="AJ1108" s="245">
        <v>101</v>
      </c>
      <c r="AK1108" s="245" t="s">
        <v>963</v>
      </c>
      <c r="AL1108" s="245">
        <v>4.5999999999999996</v>
      </c>
      <c r="AM1108" s="246">
        <v>5.0999999999999996</v>
      </c>
      <c r="AN1108" s="235">
        <v>331</v>
      </c>
      <c r="AO1108" s="247" t="s">
        <v>2262</v>
      </c>
      <c r="AP1108" s="247">
        <v>1010</v>
      </c>
      <c r="AQ1108" s="247">
        <v>16.3</v>
      </c>
      <c r="AR1108" s="247">
        <v>20.8</v>
      </c>
      <c r="AS1108" s="247">
        <v>18.7</v>
      </c>
      <c r="AT1108" s="247">
        <v>31</v>
      </c>
      <c r="AU1108" s="247">
        <v>10.7</v>
      </c>
      <c r="AV1108" s="247">
        <v>71</v>
      </c>
      <c r="AW1108" s="247">
        <v>62</v>
      </c>
      <c r="AX1108" s="247">
        <v>310</v>
      </c>
      <c r="AY1108" s="247">
        <v>52</v>
      </c>
      <c r="AZ1108" s="247" t="s">
        <v>940</v>
      </c>
      <c r="BA1108" s="248">
        <v>5.3</v>
      </c>
      <c r="BB1108" s="235">
        <v>299</v>
      </c>
      <c r="BC1108" s="247" t="s">
        <v>2260</v>
      </c>
      <c r="BD1108" s="247">
        <v>1</v>
      </c>
      <c r="BE1108" s="247">
        <v>1</v>
      </c>
      <c r="BF1108" s="247">
        <v>1.6</v>
      </c>
      <c r="BG1108" s="247">
        <v>3</v>
      </c>
      <c r="BH1108" s="247">
        <v>4.5999999999999996</v>
      </c>
      <c r="BI1108" s="247">
        <v>8</v>
      </c>
      <c r="BJ1108" s="247">
        <v>11.6</v>
      </c>
      <c r="BK1108" s="247">
        <v>10.7</v>
      </c>
      <c r="BL1108" s="247">
        <v>7.7</v>
      </c>
      <c r="BM1108" s="247">
        <v>4.2</v>
      </c>
      <c r="BN1108" s="247">
        <v>2.1</v>
      </c>
      <c r="BO1108" s="247">
        <v>1.3</v>
      </c>
      <c r="BP1108" s="248">
        <v>4.7</v>
      </c>
    </row>
    <row r="1109" spans="1:68" ht="14.25" customHeight="1">
      <c r="A1109" s="233">
        <v>452</v>
      </c>
      <c r="B1109" s="234">
        <v>277</v>
      </c>
      <c r="C1109" s="244" t="s">
        <v>928</v>
      </c>
      <c r="D1109" s="244" t="s">
        <v>2263</v>
      </c>
      <c r="E1109" s="244" t="s">
        <v>219</v>
      </c>
      <c r="F1109" s="245">
        <v>-13.5</v>
      </c>
      <c r="G1109" s="245">
        <v>-12.6</v>
      </c>
      <c r="H1109" s="245">
        <v>-5.8</v>
      </c>
      <c r="I1109" s="245">
        <v>5.8</v>
      </c>
      <c r="J1109" s="245">
        <v>14.3</v>
      </c>
      <c r="K1109" s="245">
        <v>18.600000000000001</v>
      </c>
      <c r="L1109" s="245">
        <v>20.399999999999999</v>
      </c>
      <c r="M1109" s="245">
        <v>19</v>
      </c>
      <c r="N1109" s="245">
        <v>12.8</v>
      </c>
      <c r="O1109" s="245">
        <v>4.2</v>
      </c>
      <c r="P1109" s="245">
        <v>-3.4</v>
      </c>
      <c r="Q1109" s="245">
        <v>-9.6</v>
      </c>
      <c r="R1109" s="246">
        <v>4.2</v>
      </c>
      <c r="S1109" s="233">
        <v>277</v>
      </c>
      <c r="T1109" s="247" t="s">
        <v>2264</v>
      </c>
      <c r="U1109" s="245">
        <v>-39</v>
      </c>
      <c r="V1109" s="245">
        <v>-36</v>
      </c>
      <c r="W1109" s="245">
        <v>-36</v>
      </c>
      <c r="X1109" s="245">
        <v>-30</v>
      </c>
      <c r="Y1109" s="245">
        <v>-18</v>
      </c>
      <c r="Z1109" s="245">
        <v>-43</v>
      </c>
      <c r="AA1109" s="245">
        <v>6.7</v>
      </c>
      <c r="AB1109" s="245">
        <v>149</v>
      </c>
      <c r="AC1109" s="245">
        <v>-8.5</v>
      </c>
      <c r="AD1109" s="245">
        <v>203</v>
      </c>
      <c r="AE1109" s="245">
        <v>-5.2</v>
      </c>
      <c r="AF1109" s="245">
        <v>217</v>
      </c>
      <c r="AG1109" s="245">
        <v>-4.3</v>
      </c>
      <c r="AH1109" s="245">
        <v>84</v>
      </c>
      <c r="AI1109" s="245">
        <v>78</v>
      </c>
      <c r="AJ1109" s="245">
        <v>176</v>
      </c>
      <c r="AK1109" s="245" t="s">
        <v>990</v>
      </c>
      <c r="AL1109" s="245">
        <v>5.4</v>
      </c>
      <c r="AM1109" s="246">
        <v>4</v>
      </c>
      <c r="AN1109" s="235">
        <v>277</v>
      </c>
      <c r="AO1109" s="247" t="s">
        <v>2265</v>
      </c>
      <c r="AP1109" s="247">
        <v>995</v>
      </c>
      <c r="AQ1109" s="247">
        <v>24.6</v>
      </c>
      <c r="AR1109" s="247">
        <v>28.5</v>
      </c>
      <c r="AS1109" s="247">
        <v>25.9</v>
      </c>
      <c r="AT1109" s="247">
        <v>39</v>
      </c>
      <c r="AU1109" s="247">
        <v>12.8</v>
      </c>
      <c r="AV1109" s="247">
        <v>63</v>
      </c>
      <c r="AW1109" s="247">
        <v>49</v>
      </c>
      <c r="AX1109" s="247">
        <v>307</v>
      </c>
      <c r="AY1109" s="247">
        <v>72</v>
      </c>
      <c r="AZ1109" s="247" t="s">
        <v>952</v>
      </c>
      <c r="BA1109" s="248">
        <v>3.2</v>
      </c>
      <c r="BB1109" s="235">
        <v>248</v>
      </c>
      <c r="BC1109" s="247" t="s">
        <v>219</v>
      </c>
      <c r="BD1109" s="247">
        <v>2.2000000000000002</v>
      </c>
      <c r="BE1109" s="247">
        <v>2.2000000000000002</v>
      </c>
      <c r="BF1109" s="247">
        <v>3.6</v>
      </c>
      <c r="BG1109" s="247">
        <v>6.2</v>
      </c>
      <c r="BH1109" s="247">
        <v>8.5</v>
      </c>
      <c r="BI1109" s="247">
        <v>12.2</v>
      </c>
      <c r="BJ1109" s="247">
        <v>14.7</v>
      </c>
      <c r="BK1109" s="247">
        <v>13.1</v>
      </c>
      <c r="BL1109" s="247">
        <v>9.5</v>
      </c>
      <c r="BM1109" s="247">
        <v>6.3</v>
      </c>
      <c r="BN1109" s="247">
        <v>4.5</v>
      </c>
      <c r="BO1109" s="247">
        <v>3</v>
      </c>
      <c r="BP1109" s="248">
        <v>7.2</v>
      </c>
    </row>
    <row r="1110" spans="1:68" ht="14.25" customHeight="1">
      <c r="A1110" s="233">
        <v>453</v>
      </c>
      <c r="B1110" s="234">
        <v>597</v>
      </c>
      <c r="C1110" s="244" t="s">
        <v>1015</v>
      </c>
      <c r="D1110" s="244" t="s">
        <v>1665</v>
      </c>
      <c r="E1110" s="244" t="s">
        <v>2266</v>
      </c>
      <c r="F1110" s="245">
        <v>0.5</v>
      </c>
      <c r="G1110" s="245">
        <v>2.8</v>
      </c>
      <c r="H1110" s="245">
        <v>7.4</v>
      </c>
      <c r="I1110" s="245">
        <v>14.2</v>
      </c>
      <c r="J1110" s="245">
        <v>19.3</v>
      </c>
      <c r="K1110" s="245">
        <v>23.9</v>
      </c>
      <c r="L1110" s="245">
        <v>25.9</v>
      </c>
      <c r="M1110" s="245">
        <v>24</v>
      </c>
      <c r="N1110" s="245">
        <v>19</v>
      </c>
      <c r="O1110" s="245">
        <v>12.7</v>
      </c>
      <c r="P1110" s="245">
        <v>6.6</v>
      </c>
      <c r="Q1110" s="245">
        <v>2.6</v>
      </c>
      <c r="R1110" s="246">
        <v>13.3</v>
      </c>
      <c r="S1110" s="233">
        <v>586</v>
      </c>
      <c r="T1110" s="247" t="s">
        <v>2266</v>
      </c>
      <c r="U1110" s="245">
        <v>-18</v>
      </c>
      <c r="V1110" s="245">
        <v>-15</v>
      </c>
      <c r="W1110" s="245">
        <v>-14</v>
      </c>
      <c r="X1110" s="245" t="s">
        <v>2166</v>
      </c>
      <c r="Y1110" s="245">
        <v>-3</v>
      </c>
      <c r="Z1110" s="245">
        <v>-25</v>
      </c>
      <c r="AA1110" s="245">
        <v>9.8000000000000007</v>
      </c>
      <c r="AB1110" s="245">
        <v>0</v>
      </c>
      <c r="AC1110" s="245" t="s">
        <v>830</v>
      </c>
      <c r="AD1110" s="245">
        <v>133</v>
      </c>
      <c r="AE1110" s="245">
        <v>3.3</v>
      </c>
      <c r="AF1110" s="245" t="s">
        <v>933</v>
      </c>
      <c r="AG1110" s="245" t="s">
        <v>931</v>
      </c>
      <c r="AH1110" s="245" t="s">
        <v>956</v>
      </c>
      <c r="AI1110" s="245" t="s">
        <v>956</v>
      </c>
      <c r="AJ1110" s="245" t="s">
        <v>1018</v>
      </c>
      <c r="AK1110" s="245" t="s">
        <v>931</v>
      </c>
      <c r="AL1110" s="245">
        <v>2.7</v>
      </c>
      <c r="AM1110" s="246" t="s">
        <v>931</v>
      </c>
      <c r="AN1110" s="235">
        <v>587</v>
      </c>
      <c r="AO1110" s="247" t="s">
        <v>2267</v>
      </c>
      <c r="AP1110" s="247">
        <v>930</v>
      </c>
      <c r="AQ1110" s="247">
        <v>31.7</v>
      </c>
      <c r="AR1110" s="247">
        <v>36</v>
      </c>
      <c r="AS1110" s="247">
        <v>33.700000000000003</v>
      </c>
      <c r="AT1110" s="247">
        <v>42</v>
      </c>
      <c r="AU1110" s="247">
        <v>16.5</v>
      </c>
      <c r="AV1110" s="247" t="s">
        <v>958</v>
      </c>
      <c r="AW1110" s="247" t="s">
        <v>931</v>
      </c>
      <c r="AX1110" s="247" t="s">
        <v>931</v>
      </c>
      <c r="AY1110" s="247" t="s">
        <v>965</v>
      </c>
      <c r="AZ1110" s="247" t="s">
        <v>933</v>
      </c>
      <c r="BA1110" s="248">
        <v>0</v>
      </c>
      <c r="BB1110" s="235"/>
      <c r="BC1110" s="247" t="s">
        <v>2266</v>
      </c>
      <c r="BD1110" s="247"/>
      <c r="BE1110" s="247"/>
      <c r="BF1110" s="247"/>
      <c r="BG1110" s="247"/>
      <c r="BH1110" s="247"/>
      <c r="BI1110" s="247"/>
      <c r="BJ1110" s="247"/>
      <c r="BK1110" s="247"/>
      <c r="BL1110" s="247"/>
      <c r="BM1110" s="247"/>
      <c r="BN1110" s="247"/>
      <c r="BO1110" s="247"/>
      <c r="BP1110" s="248"/>
    </row>
    <row r="1111" spans="1:68" ht="14.25" customHeight="1">
      <c r="A1111" s="233">
        <v>454</v>
      </c>
      <c r="B1111" s="234">
        <v>486</v>
      </c>
      <c r="C1111" s="244" t="s">
        <v>1068</v>
      </c>
      <c r="D1111" s="244" t="s">
        <v>1068</v>
      </c>
      <c r="E1111" s="244" t="s">
        <v>2268</v>
      </c>
      <c r="F1111" s="245">
        <v>5.0999999999999996</v>
      </c>
      <c r="G1111" s="245">
        <v>6.2</v>
      </c>
      <c r="H1111" s="245">
        <v>9.1</v>
      </c>
      <c r="I1111" s="245">
        <v>13.7</v>
      </c>
      <c r="J1111" s="245">
        <v>17.7</v>
      </c>
      <c r="K1111" s="245">
        <v>21</v>
      </c>
      <c r="L1111" s="245">
        <v>23</v>
      </c>
      <c r="M1111" s="245">
        <v>23</v>
      </c>
      <c r="N1111" s="245">
        <v>21.1</v>
      </c>
      <c r="O1111" s="245">
        <v>15.5</v>
      </c>
      <c r="P1111" s="245">
        <v>11.1</v>
      </c>
      <c r="Q1111" s="245">
        <v>7.1</v>
      </c>
      <c r="R1111" s="246">
        <v>14.5</v>
      </c>
      <c r="S1111" s="233">
        <v>486</v>
      </c>
      <c r="T1111" s="247" t="s">
        <v>2269</v>
      </c>
      <c r="U1111" s="245">
        <v>-9</v>
      </c>
      <c r="V1111" s="245">
        <v>-7</v>
      </c>
      <c r="W1111" s="245">
        <v>-5</v>
      </c>
      <c r="X1111" s="245">
        <v>-3</v>
      </c>
      <c r="Y1111" s="245">
        <v>2</v>
      </c>
      <c r="Z1111" s="245">
        <v>-17</v>
      </c>
      <c r="AA1111" s="245">
        <v>6.9</v>
      </c>
      <c r="AB1111" s="245">
        <v>0</v>
      </c>
      <c r="AC1111" s="245" t="s">
        <v>830</v>
      </c>
      <c r="AD1111" s="245">
        <v>87</v>
      </c>
      <c r="AE1111" s="245">
        <v>6.3</v>
      </c>
      <c r="AF1111" s="245">
        <v>119</v>
      </c>
      <c r="AG1111" s="245">
        <v>6.8</v>
      </c>
      <c r="AH1111" s="245" t="s">
        <v>956</v>
      </c>
      <c r="AI1111" s="245" t="s">
        <v>956</v>
      </c>
      <c r="AJ1111" s="245">
        <v>624</v>
      </c>
      <c r="AK1111" s="245" t="s">
        <v>982</v>
      </c>
      <c r="AL1111" s="245" t="s">
        <v>931</v>
      </c>
      <c r="AM1111" s="246">
        <v>5.3</v>
      </c>
      <c r="AN1111" s="235">
        <v>486</v>
      </c>
      <c r="AO1111" s="247" t="s">
        <v>2270</v>
      </c>
      <c r="AP1111" s="247" t="s">
        <v>965</v>
      </c>
      <c r="AQ1111" s="247">
        <v>26</v>
      </c>
      <c r="AR1111" s="247">
        <v>33</v>
      </c>
      <c r="AS1111" s="247">
        <v>30.4</v>
      </c>
      <c r="AT1111" s="247">
        <v>41</v>
      </c>
      <c r="AU1111" s="247">
        <v>9.6999999999999993</v>
      </c>
      <c r="AV1111" s="247">
        <v>80</v>
      </c>
      <c r="AW1111" s="247" t="s">
        <v>931</v>
      </c>
      <c r="AX1111" s="247" t="s">
        <v>931</v>
      </c>
      <c r="AY1111" s="247">
        <v>164</v>
      </c>
      <c r="AZ1111" s="247" t="s">
        <v>952</v>
      </c>
      <c r="BA1111" s="248">
        <v>0.9</v>
      </c>
      <c r="BB1111" s="235"/>
      <c r="BC1111" s="247" t="s">
        <v>2269</v>
      </c>
      <c r="BD1111" s="247"/>
      <c r="BE1111" s="247"/>
      <c r="BF1111" s="247"/>
      <c r="BG1111" s="247"/>
      <c r="BH1111" s="247"/>
      <c r="BI1111" s="247"/>
      <c r="BJ1111" s="247"/>
      <c r="BK1111" s="247"/>
      <c r="BL1111" s="247"/>
      <c r="BM1111" s="247"/>
      <c r="BN1111" s="247"/>
      <c r="BO1111" s="247"/>
      <c r="BP1111" s="248"/>
    </row>
    <row r="1112" spans="1:68" ht="14.25" customHeight="1">
      <c r="A1112" s="233">
        <v>455</v>
      </c>
      <c r="B1112" s="234">
        <v>430</v>
      </c>
      <c r="C1112" s="244" t="s">
        <v>928</v>
      </c>
      <c r="D1112" s="244" t="s">
        <v>969</v>
      </c>
      <c r="E1112" s="244" t="s">
        <v>2271</v>
      </c>
      <c r="F1112" s="245">
        <v>-39.1</v>
      </c>
      <c r="G1112" s="245">
        <v>-34.5</v>
      </c>
      <c r="H1112" s="245">
        <v>-21.6</v>
      </c>
      <c r="I1112" s="245">
        <v>-8.5</v>
      </c>
      <c r="J1112" s="245">
        <v>4.0999999999999996</v>
      </c>
      <c r="K1112" s="245">
        <v>14.3</v>
      </c>
      <c r="L1112" s="245">
        <v>18.100000000000001</v>
      </c>
      <c r="M1112" s="245">
        <v>14.5</v>
      </c>
      <c r="N1112" s="245">
        <v>6</v>
      </c>
      <c r="O1112" s="245">
        <v>-8.6999999999999993</v>
      </c>
      <c r="P1112" s="245">
        <v>-28.5</v>
      </c>
      <c r="Q1112" s="245">
        <v>-37.299999999999997</v>
      </c>
      <c r="R1112" s="246">
        <v>-10.1</v>
      </c>
      <c r="S1112" s="233">
        <v>430</v>
      </c>
      <c r="T1112" s="247" t="s">
        <v>2271</v>
      </c>
      <c r="U1112" s="245">
        <v>-53</v>
      </c>
      <c r="V1112" s="245">
        <v>-52</v>
      </c>
      <c r="W1112" s="245">
        <v>-51</v>
      </c>
      <c r="X1112" s="245">
        <v>-50</v>
      </c>
      <c r="Y1112" s="245">
        <v>-44</v>
      </c>
      <c r="Z1112" s="245">
        <v>-61</v>
      </c>
      <c r="AA1112" s="245">
        <v>6.4</v>
      </c>
      <c r="AB1112" s="245">
        <v>220</v>
      </c>
      <c r="AC1112" s="245">
        <v>-24</v>
      </c>
      <c r="AD1112" s="245">
        <v>261</v>
      </c>
      <c r="AE1112" s="245">
        <v>-19.600000000000001</v>
      </c>
      <c r="AF1112" s="245">
        <v>274</v>
      </c>
      <c r="AG1112" s="245">
        <v>-18.2</v>
      </c>
      <c r="AH1112" s="245">
        <v>70</v>
      </c>
      <c r="AI1112" s="245">
        <v>70</v>
      </c>
      <c r="AJ1112" s="245">
        <v>58</v>
      </c>
      <c r="AK1112" s="245" t="s">
        <v>982</v>
      </c>
      <c r="AL1112" s="245">
        <v>7.6</v>
      </c>
      <c r="AM1112" s="246">
        <v>3.6</v>
      </c>
      <c r="AN1112" s="235">
        <v>430</v>
      </c>
      <c r="AO1112" s="247" t="s">
        <v>2272</v>
      </c>
      <c r="AP1112" s="247">
        <v>995</v>
      </c>
      <c r="AQ1112" s="247">
        <v>21</v>
      </c>
      <c r="AR1112" s="247">
        <v>25.2</v>
      </c>
      <c r="AS1112" s="247">
        <v>23.4</v>
      </c>
      <c r="AT1112" s="247">
        <v>35</v>
      </c>
      <c r="AU1112" s="247">
        <v>10.8</v>
      </c>
      <c r="AV1112" s="247">
        <v>64</v>
      </c>
      <c r="AW1112" s="247">
        <v>55</v>
      </c>
      <c r="AX1112" s="247">
        <v>261</v>
      </c>
      <c r="AY1112" s="247">
        <v>58</v>
      </c>
      <c r="AZ1112" s="247" t="s">
        <v>959</v>
      </c>
      <c r="BA1112" s="248">
        <v>0</v>
      </c>
      <c r="BB1112" s="235">
        <v>393</v>
      </c>
      <c r="BC1112" s="247" t="s">
        <v>2271</v>
      </c>
      <c r="BD1112" s="247">
        <v>0.2</v>
      </c>
      <c r="BE1112" s="247">
        <v>0.3</v>
      </c>
      <c r="BF1112" s="247">
        <v>0.9</v>
      </c>
      <c r="BG1112" s="247">
        <v>2.2999999999999998</v>
      </c>
      <c r="BH1112" s="247">
        <v>4.8</v>
      </c>
      <c r="BI1112" s="247">
        <v>9.6</v>
      </c>
      <c r="BJ1112" s="247">
        <v>13</v>
      </c>
      <c r="BK1112" s="247">
        <v>11.8</v>
      </c>
      <c r="BL1112" s="247">
        <v>6.8</v>
      </c>
      <c r="BM1112" s="247">
        <v>2.9</v>
      </c>
      <c r="BN1112" s="247">
        <v>0.6</v>
      </c>
      <c r="BO1112" s="247">
        <v>0.2</v>
      </c>
      <c r="BP1112" s="248">
        <v>4.5</v>
      </c>
    </row>
    <row r="1113" spans="1:68" ht="14.25" customHeight="1">
      <c r="A1113" s="233">
        <v>456</v>
      </c>
      <c r="B1113" s="234">
        <v>200</v>
      </c>
      <c r="C1113" s="244" t="s">
        <v>928</v>
      </c>
      <c r="D1113" s="244" t="s">
        <v>2273</v>
      </c>
      <c r="E1113" s="244" t="s">
        <v>220</v>
      </c>
      <c r="F1113" s="245">
        <v>-7.8</v>
      </c>
      <c r="G1113" s="245">
        <v>-7.8</v>
      </c>
      <c r="H1113" s="245">
        <v>-3.9</v>
      </c>
      <c r="I1113" s="245">
        <v>3.1</v>
      </c>
      <c r="J1113" s="245">
        <v>9.8000000000000007</v>
      </c>
      <c r="K1113" s="245">
        <v>15</v>
      </c>
      <c r="L1113" s="245">
        <v>17.8</v>
      </c>
      <c r="M1113" s="245">
        <v>16</v>
      </c>
      <c r="N1113" s="245">
        <v>10.9</v>
      </c>
      <c r="O1113" s="245">
        <v>4.9000000000000004</v>
      </c>
      <c r="P1113" s="245">
        <v>-0.3</v>
      </c>
      <c r="Q1113" s="245">
        <v>-5</v>
      </c>
      <c r="R1113" s="246">
        <v>4.4000000000000004</v>
      </c>
      <c r="S1113" s="233">
        <v>200</v>
      </c>
      <c r="T1113" s="247" t="s">
        <v>2274</v>
      </c>
      <c r="U1113" s="245">
        <v>-33</v>
      </c>
      <c r="V1113" s="245">
        <v>-30</v>
      </c>
      <c r="W1113" s="245">
        <v>-30</v>
      </c>
      <c r="X1113" s="245">
        <v>-26</v>
      </c>
      <c r="Y1113" s="245">
        <v>-13</v>
      </c>
      <c r="Z1113" s="245">
        <v>-36</v>
      </c>
      <c r="AA1113" s="245">
        <v>5.6</v>
      </c>
      <c r="AB1113" s="245">
        <v>139</v>
      </c>
      <c r="AC1113" s="245">
        <v>-5.0999999999999996</v>
      </c>
      <c r="AD1113" s="245">
        <v>220</v>
      </c>
      <c r="AE1113" s="245">
        <v>-1.8</v>
      </c>
      <c r="AF1113" s="245">
        <v>239</v>
      </c>
      <c r="AG1113" s="245">
        <v>-0.9</v>
      </c>
      <c r="AH1113" s="245">
        <v>86</v>
      </c>
      <c r="AI1113" s="245">
        <v>83</v>
      </c>
      <c r="AJ1113" s="245">
        <v>200</v>
      </c>
      <c r="AK1113" s="245" t="s">
        <v>971</v>
      </c>
      <c r="AL1113" s="245">
        <v>4.2</v>
      </c>
      <c r="AM1113" s="246">
        <v>2.8</v>
      </c>
      <c r="AN1113" s="235">
        <v>199</v>
      </c>
      <c r="AO1113" s="247" t="s">
        <v>2275</v>
      </c>
      <c r="AP1113" s="247">
        <v>1010</v>
      </c>
      <c r="AQ1113" s="247">
        <v>20.5</v>
      </c>
      <c r="AR1113" s="247">
        <v>24.6</v>
      </c>
      <c r="AS1113" s="247">
        <v>22</v>
      </c>
      <c r="AT1113" s="247">
        <v>34</v>
      </c>
      <c r="AU1113" s="247">
        <v>8.1999999999999993</v>
      </c>
      <c r="AV1113" s="247">
        <v>72</v>
      </c>
      <c r="AW1113" s="247">
        <v>60</v>
      </c>
      <c r="AX1113" s="247">
        <v>420</v>
      </c>
      <c r="AY1113" s="247">
        <v>76</v>
      </c>
      <c r="AZ1113" s="247" t="s">
        <v>952</v>
      </c>
      <c r="BA1113" s="248">
        <v>0</v>
      </c>
      <c r="BB1113" s="235">
        <v>175</v>
      </c>
      <c r="BC1113" s="247" t="s">
        <v>220</v>
      </c>
      <c r="BD1113" s="247">
        <v>3.3</v>
      </c>
      <c r="BE1113" s="247">
        <v>3.2</v>
      </c>
      <c r="BF1113" s="247">
        <v>3.9</v>
      </c>
      <c r="BG1113" s="247">
        <v>5.7</v>
      </c>
      <c r="BH1113" s="247">
        <v>8</v>
      </c>
      <c r="BI1113" s="247">
        <v>11.8</v>
      </c>
      <c r="BJ1113" s="247">
        <v>14.6</v>
      </c>
      <c r="BK1113" s="247">
        <v>14.3</v>
      </c>
      <c r="BL1113" s="247">
        <v>10.9</v>
      </c>
      <c r="BM1113" s="247">
        <v>7.6</v>
      </c>
      <c r="BN1113" s="247">
        <v>5.5</v>
      </c>
      <c r="BO1113" s="247">
        <v>4.2</v>
      </c>
      <c r="BP1113" s="248">
        <v>7.8</v>
      </c>
    </row>
    <row r="1114" spans="1:68" ht="14.25" customHeight="1">
      <c r="A1114" s="233">
        <v>457</v>
      </c>
      <c r="B1114" s="234">
        <v>209</v>
      </c>
      <c r="C1114" s="244" t="s">
        <v>928</v>
      </c>
      <c r="D1114" s="244" t="s">
        <v>2276</v>
      </c>
      <c r="E1114" s="244" t="s">
        <v>221</v>
      </c>
      <c r="F1114" s="245">
        <v>-12.3</v>
      </c>
      <c r="G1114" s="245">
        <v>-11.7</v>
      </c>
      <c r="H1114" s="245">
        <v>-5.9</v>
      </c>
      <c r="I1114" s="245">
        <v>4.8</v>
      </c>
      <c r="J1114" s="245">
        <v>13.1</v>
      </c>
      <c r="K1114" s="245">
        <v>17.3</v>
      </c>
      <c r="L1114" s="245">
        <v>19.2</v>
      </c>
      <c r="M1114" s="245">
        <v>17.7</v>
      </c>
      <c r="N1114" s="245">
        <v>11.6</v>
      </c>
      <c r="O1114" s="245">
        <v>4.0999999999999996</v>
      </c>
      <c r="P1114" s="245">
        <v>-3</v>
      </c>
      <c r="Q1114" s="245">
        <v>-8.6999999999999993</v>
      </c>
      <c r="R1114" s="246">
        <v>3.9</v>
      </c>
      <c r="S1114" s="233">
        <v>209</v>
      </c>
      <c r="T1114" s="247" t="s">
        <v>2277</v>
      </c>
      <c r="U1114" s="245">
        <v>-38</v>
      </c>
      <c r="V1114" s="245">
        <v>-34</v>
      </c>
      <c r="W1114" s="245">
        <v>-34</v>
      </c>
      <c r="X1114" s="245">
        <v>-30</v>
      </c>
      <c r="Y1114" s="245">
        <v>-17</v>
      </c>
      <c r="Z1114" s="245">
        <v>-44</v>
      </c>
      <c r="AA1114" s="245">
        <v>6.7</v>
      </c>
      <c r="AB1114" s="245">
        <v>150</v>
      </c>
      <c r="AC1114" s="245">
        <v>-7.9</v>
      </c>
      <c r="AD1114" s="245">
        <v>209</v>
      </c>
      <c r="AE1114" s="245">
        <v>-4.5</v>
      </c>
      <c r="AF1114" s="245">
        <v>225</v>
      </c>
      <c r="AG1114" s="245">
        <v>-3.6</v>
      </c>
      <c r="AH1114" s="245">
        <v>83</v>
      </c>
      <c r="AI1114" s="245">
        <v>83</v>
      </c>
      <c r="AJ1114" s="245">
        <v>155</v>
      </c>
      <c r="AK1114" s="245" t="s">
        <v>963</v>
      </c>
      <c r="AL1114" s="245">
        <v>6.9</v>
      </c>
      <c r="AM1114" s="246">
        <v>5.8</v>
      </c>
      <c r="AN1114" s="235">
        <v>209</v>
      </c>
      <c r="AO1114" s="247" t="s">
        <v>2278</v>
      </c>
      <c r="AP1114" s="247">
        <v>990</v>
      </c>
      <c r="AQ1114" s="247">
        <v>22.5</v>
      </c>
      <c r="AR1114" s="247">
        <v>26.6</v>
      </c>
      <c r="AS1114" s="247">
        <v>24.9</v>
      </c>
      <c r="AT1114" s="247">
        <v>39</v>
      </c>
      <c r="AU1114" s="247">
        <v>11.5</v>
      </c>
      <c r="AV1114" s="247">
        <v>69</v>
      </c>
      <c r="AW1114" s="247">
        <v>51</v>
      </c>
      <c r="AX1114" s="247">
        <v>361</v>
      </c>
      <c r="AY1114" s="247">
        <v>128</v>
      </c>
      <c r="AZ1114" s="247" t="s">
        <v>1005</v>
      </c>
      <c r="BA1114" s="248">
        <v>0</v>
      </c>
      <c r="BB1114" s="235">
        <v>184</v>
      </c>
      <c r="BC1114" s="247" t="s">
        <v>221</v>
      </c>
      <c r="BD1114" s="247">
        <v>2.5</v>
      </c>
      <c r="BE1114" s="247">
        <v>2.5</v>
      </c>
      <c r="BF1114" s="247">
        <v>3.7</v>
      </c>
      <c r="BG1114" s="247">
        <v>6.6</v>
      </c>
      <c r="BH1114" s="247">
        <v>9</v>
      </c>
      <c r="BI1114" s="247">
        <v>12.5</v>
      </c>
      <c r="BJ1114" s="247">
        <v>15.1</v>
      </c>
      <c r="BK1114" s="247">
        <v>13.8</v>
      </c>
      <c r="BL1114" s="247">
        <v>10.1</v>
      </c>
      <c r="BM1114" s="247">
        <v>6.8</v>
      </c>
      <c r="BN1114" s="247">
        <v>4.7</v>
      </c>
      <c r="BO1114" s="247">
        <v>3.3</v>
      </c>
      <c r="BP1114" s="248">
        <v>7.6</v>
      </c>
    </row>
    <row r="1115" spans="1:68" ht="14.25" customHeight="1">
      <c r="A1115" s="233">
        <v>458</v>
      </c>
      <c r="B1115" s="234">
        <v>342</v>
      </c>
      <c r="C1115" s="244" t="s">
        <v>928</v>
      </c>
      <c r="D1115" s="244" t="s">
        <v>1367</v>
      </c>
      <c r="E1115" s="244" t="s">
        <v>2279</v>
      </c>
      <c r="F1115" s="245">
        <v>-14.3</v>
      </c>
      <c r="G1115" s="245">
        <v>-13.5</v>
      </c>
      <c r="H1115" s="245">
        <v>-7.3</v>
      </c>
      <c r="I1115" s="245">
        <v>3</v>
      </c>
      <c r="J1115" s="245">
        <v>11.5</v>
      </c>
      <c r="K1115" s="245">
        <v>17.100000000000001</v>
      </c>
      <c r="L1115" s="245">
        <v>18.899999999999999</v>
      </c>
      <c r="M1115" s="245">
        <v>16.8</v>
      </c>
      <c r="N1115" s="245">
        <v>10.4</v>
      </c>
      <c r="O1115" s="245">
        <v>2.7</v>
      </c>
      <c r="P1115" s="245">
        <v>-5.5</v>
      </c>
      <c r="Q1115" s="245">
        <v>-12.2</v>
      </c>
      <c r="R1115" s="246">
        <v>2.2999999999999998</v>
      </c>
      <c r="S1115" s="233">
        <v>342</v>
      </c>
      <c r="T1115" s="247" t="s">
        <v>2280</v>
      </c>
      <c r="U1115" s="245">
        <v>-41</v>
      </c>
      <c r="V1115" s="245">
        <v>-38</v>
      </c>
      <c r="W1115" s="245">
        <v>-38</v>
      </c>
      <c r="X1115" s="245">
        <v>-34</v>
      </c>
      <c r="Y1115" s="245">
        <v>-19</v>
      </c>
      <c r="Z1115" s="245">
        <v>-48</v>
      </c>
      <c r="AA1115" s="245">
        <v>6.5</v>
      </c>
      <c r="AB1115" s="245">
        <v>163</v>
      </c>
      <c r="AC1115" s="245">
        <v>-9.4</v>
      </c>
      <c r="AD1115" s="245">
        <v>220</v>
      </c>
      <c r="AE1115" s="245">
        <v>-5.9</v>
      </c>
      <c r="AF1115" s="245">
        <v>236</v>
      </c>
      <c r="AG1115" s="245">
        <v>-4.9000000000000004</v>
      </c>
      <c r="AH1115" s="245">
        <v>84</v>
      </c>
      <c r="AI1115" s="245">
        <v>81</v>
      </c>
      <c r="AJ1115" s="245">
        <v>228</v>
      </c>
      <c r="AK1115" s="245" t="s">
        <v>971</v>
      </c>
      <c r="AL1115" s="245" t="s">
        <v>931</v>
      </c>
      <c r="AM1115" s="246">
        <v>3.5</v>
      </c>
      <c r="AN1115" s="235">
        <v>342</v>
      </c>
      <c r="AO1115" s="247" t="s">
        <v>2281</v>
      </c>
      <c r="AP1115" s="247">
        <v>995</v>
      </c>
      <c r="AQ1115" s="247">
        <v>22.2</v>
      </c>
      <c r="AR1115" s="247">
        <v>26.4</v>
      </c>
      <c r="AS1115" s="247">
        <v>24.6</v>
      </c>
      <c r="AT1115" s="247">
        <v>38</v>
      </c>
      <c r="AU1115" s="247">
        <v>11</v>
      </c>
      <c r="AV1115" s="247">
        <v>67</v>
      </c>
      <c r="AW1115" s="247">
        <v>53</v>
      </c>
      <c r="AX1115" s="247">
        <v>371</v>
      </c>
      <c r="AY1115" s="247">
        <v>73</v>
      </c>
      <c r="AZ1115" s="247" t="s">
        <v>959</v>
      </c>
      <c r="BA1115" s="248" t="s">
        <v>934</v>
      </c>
      <c r="BB1115" s="235"/>
      <c r="BC1115" s="247" t="s">
        <v>2279</v>
      </c>
      <c r="BD1115" s="247"/>
      <c r="BE1115" s="247"/>
      <c r="BF1115" s="247"/>
      <c r="BG1115" s="247"/>
      <c r="BH1115" s="247"/>
      <c r="BI1115" s="247"/>
      <c r="BJ1115" s="247"/>
      <c r="BK1115" s="247"/>
      <c r="BL1115" s="247"/>
      <c r="BM1115" s="247"/>
      <c r="BN1115" s="247"/>
      <c r="BO1115" s="247"/>
      <c r="BP1115" s="248"/>
    </row>
    <row r="1116" spans="1:68" ht="14.25" customHeight="1">
      <c r="A1116" s="233">
        <v>459</v>
      </c>
      <c r="B1116" s="234">
        <v>631</v>
      </c>
      <c r="C1116" s="244" t="s">
        <v>953</v>
      </c>
      <c r="D1116" s="244" t="s">
        <v>1565</v>
      </c>
      <c r="E1116" s="244" t="s">
        <v>2282</v>
      </c>
      <c r="F1116" s="245">
        <v>-2</v>
      </c>
      <c r="G1116" s="245">
        <v>-0.8</v>
      </c>
      <c r="H1116" s="245">
        <v>3.3</v>
      </c>
      <c r="I1116" s="245">
        <v>9.9</v>
      </c>
      <c r="J1116" s="245">
        <v>15.9</v>
      </c>
      <c r="K1116" s="245">
        <v>19.8</v>
      </c>
      <c r="L1116" s="245">
        <v>21.6</v>
      </c>
      <c r="M1116" s="245">
        <v>21.2</v>
      </c>
      <c r="N1116" s="245">
        <v>16.399999999999999</v>
      </c>
      <c r="O1116" s="245">
        <v>10.4</v>
      </c>
      <c r="P1116" s="245">
        <v>5.2</v>
      </c>
      <c r="Q1116" s="245">
        <v>0.6</v>
      </c>
      <c r="R1116" s="246">
        <v>10.1</v>
      </c>
      <c r="S1116" s="233">
        <v>620</v>
      </c>
      <c r="T1116" s="247" t="s">
        <v>2282</v>
      </c>
      <c r="U1116" s="245">
        <v>-26</v>
      </c>
      <c r="V1116" s="245">
        <v>-23</v>
      </c>
      <c r="W1116" s="245">
        <v>-22</v>
      </c>
      <c r="X1116" s="245">
        <v>-20</v>
      </c>
      <c r="Y1116" s="245">
        <v>-7</v>
      </c>
      <c r="Z1116" s="245">
        <v>-30</v>
      </c>
      <c r="AA1116" s="245" t="s">
        <v>956</v>
      </c>
      <c r="AB1116" s="245">
        <v>64</v>
      </c>
      <c r="AC1116" s="245">
        <v>-1.5</v>
      </c>
      <c r="AD1116" s="245">
        <v>157</v>
      </c>
      <c r="AE1116" s="245">
        <v>1.6</v>
      </c>
      <c r="AF1116" s="245">
        <v>177</v>
      </c>
      <c r="AG1116" s="245">
        <v>2.4</v>
      </c>
      <c r="AH1116" s="245" t="s">
        <v>956</v>
      </c>
      <c r="AI1116" s="245" t="s">
        <v>956</v>
      </c>
      <c r="AJ1116" s="245">
        <v>163</v>
      </c>
      <c r="AK1116" s="245" t="s">
        <v>996</v>
      </c>
      <c r="AL1116" s="245" t="s">
        <v>931</v>
      </c>
      <c r="AM1116" s="246" t="s">
        <v>931</v>
      </c>
      <c r="AN1116" s="235">
        <v>621</v>
      </c>
      <c r="AO1116" s="247" t="s">
        <v>2283</v>
      </c>
      <c r="AP1116" s="247" t="s">
        <v>965</v>
      </c>
      <c r="AQ1116" s="247">
        <v>31</v>
      </c>
      <c r="AR1116" s="247">
        <v>27</v>
      </c>
      <c r="AS1116" s="247">
        <v>27.7</v>
      </c>
      <c r="AT1116" s="247">
        <v>41</v>
      </c>
      <c r="AU1116" s="247" t="s">
        <v>934</v>
      </c>
      <c r="AV1116" s="247" t="s">
        <v>958</v>
      </c>
      <c r="AW1116" s="247" t="s">
        <v>931</v>
      </c>
      <c r="AX1116" s="247" t="s">
        <v>931</v>
      </c>
      <c r="AY1116" s="247">
        <v>100</v>
      </c>
      <c r="AZ1116" s="247" t="s">
        <v>1005</v>
      </c>
      <c r="BA1116" s="248">
        <v>1.5</v>
      </c>
      <c r="BB1116" s="235"/>
      <c r="BC1116" s="247" t="s">
        <v>2282</v>
      </c>
      <c r="BD1116" s="247"/>
      <c r="BE1116" s="247"/>
      <c r="BF1116" s="247"/>
      <c r="BG1116" s="247"/>
      <c r="BH1116" s="247"/>
      <c r="BI1116" s="247"/>
      <c r="BJ1116" s="247"/>
      <c r="BK1116" s="247"/>
      <c r="BL1116" s="247"/>
      <c r="BM1116" s="247"/>
      <c r="BN1116" s="247"/>
      <c r="BO1116" s="247"/>
      <c r="BP1116" s="248"/>
    </row>
    <row r="1117" spans="1:68" ht="14.25" customHeight="1">
      <c r="A1117" s="233">
        <v>460</v>
      </c>
      <c r="B1117" s="234">
        <v>286</v>
      </c>
      <c r="C1117" s="244" t="s">
        <v>928</v>
      </c>
      <c r="D1117" s="244" t="s">
        <v>979</v>
      </c>
      <c r="E1117" s="244" t="s">
        <v>222</v>
      </c>
      <c r="F1117" s="245">
        <v>-11</v>
      </c>
      <c r="G1117" s="245">
        <v>-11.4</v>
      </c>
      <c r="H1117" s="245">
        <v>-4.8</v>
      </c>
      <c r="I1117" s="245">
        <v>6.6</v>
      </c>
      <c r="J1117" s="245">
        <v>15</v>
      </c>
      <c r="K1117" s="245">
        <v>19.399999999999999</v>
      </c>
      <c r="L1117" s="245">
        <v>21.4</v>
      </c>
      <c r="M1117" s="245">
        <v>19.899999999999999</v>
      </c>
      <c r="N1117" s="245">
        <v>14</v>
      </c>
      <c r="O1117" s="245">
        <v>5.4</v>
      </c>
      <c r="P1117" s="245">
        <v>-2</v>
      </c>
      <c r="Q1117" s="245">
        <v>-8.3000000000000007</v>
      </c>
      <c r="R1117" s="246">
        <v>5.3</v>
      </c>
      <c r="S1117" s="233">
        <v>286</v>
      </c>
      <c r="T1117" s="247" t="s">
        <v>2284</v>
      </c>
      <c r="U1117" s="245">
        <v>-34</v>
      </c>
      <c r="V1117" s="245">
        <v>-33</v>
      </c>
      <c r="W1117" s="245">
        <v>-30</v>
      </c>
      <c r="X1117" s="245">
        <v>-27</v>
      </c>
      <c r="Y1117" s="245">
        <v>-16</v>
      </c>
      <c r="Z1117" s="245">
        <v>-37</v>
      </c>
      <c r="AA1117" s="245">
        <v>6.9</v>
      </c>
      <c r="AB1117" s="245">
        <v>142</v>
      </c>
      <c r="AC1117" s="245">
        <v>-7.5</v>
      </c>
      <c r="AD1117" s="245">
        <v>196</v>
      </c>
      <c r="AE1117" s="245">
        <v>-4.3</v>
      </c>
      <c r="AF1117" s="245">
        <v>210</v>
      </c>
      <c r="AG1117" s="245">
        <v>-3.4</v>
      </c>
      <c r="AH1117" s="245">
        <v>82</v>
      </c>
      <c r="AI1117" s="245">
        <v>82</v>
      </c>
      <c r="AJ1117" s="245">
        <v>159</v>
      </c>
      <c r="AK1117" s="245" t="s">
        <v>944</v>
      </c>
      <c r="AL1117" s="245">
        <v>5.6</v>
      </c>
      <c r="AM1117" s="246">
        <v>4.4000000000000004</v>
      </c>
      <c r="AN1117" s="235">
        <v>280</v>
      </c>
      <c r="AO1117" s="247" t="s">
        <v>2285</v>
      </c>
      <c r="AP1117" s="247">
        <v>1005</v>
      </c>
      <c r="AQ1117" s="247">
        <v>25.1</v>
      </c>
      <c r="AR1117" s="247">
        <v>29.1</v>
      </c>
      <c r="AS1117" s="247">
        <v>27.5</v>
      </c>
      <c r="AT1117" s="247">
        <v>41</v>
      </c>
      <c r="AU1117" s="247">
        <v>11.5</v>
      </c>
      <c r="AV1117" s="247">
        <v>56</v>
      </c>
      <c r="AW1117" s="247">
        <v>41</v>
      </c>
      <c r="AX1117" s="247">
        <v>292</v>
      </c>
      <c r="AY1117" s="247">
        <v>65</v>
      </c>
      <c r="AZ1117" s="247" t="s">
        <v>959</v>
      </c>
      <c r="BA1117" s="248">
        <v>4.3</v>
      </c>
      <c r="BB1117" s="235">
        <v>251</v>
      </c>
      <c r="BC1117" s="247" t="s">
        <v>222</v>
      </c>
      <c r="BD1117" s="247">
        <v>2.6</v>
      </c>
      <c r="BE1117" s="247">
        <v>2.7</v>
      </c>
      <c r="BF1117" s="247">
        <v>4</v>
      </c>
      <c r="BG1117" s="247">
        <v>6.6</v>
      </c>
      <c r="BH1117" s="247">
        <v>9.1</v>
      </c>
      <c r="BI1117" s="247">
        <v>12.2</v>
      </c>
      <c r="BJ1117" s="247">
        <v>13.9</v>
      </c>
      <c r="BK1117" s="247">
        <v>13.2</v>
      </c>
      <c r="BL1117" s="247">
        <v>9.6999999999999993</v>
      </c>
      <c r="BM1117" s="247">
        <v>6.7</v>
      </c>
      <c r="BN1117" s="247">
        <v>4.7</v>
      </c>
      <c r="BO1117" s="247">
        <v>3.6</v>
      </c>
      <c r="BP1117" s="248">
        <v>7.4</v>
      </c>
    </row>
    <row r="1118" spans="1:68" ht="14.25" customHeight="1">
      <c r="A1118" s="233">
        <v>461</v>
      </c>
      <c r="B1118" s="234">
        <v>635</v>
      </c>
      <c r="C1118" s="244" t="s">
        <v>953</v>
      </c>
      <c r="D1118" s="244" t="s">
        <v>2232</v>
      </c>
      <c r="E1118" s="244" t="s">
        <v>2286</v>
      </c>
      <c r="F1118" s="245">
        <v>-5.4</v>
      </c>
      <c r="G1118" s="245">
        <v>-4</v>
      </c>
      <c r="H1118" s="245">
        <v>0.6</v>
      </c>
      <c r="I1118" s="245">
        <v>8</v>
      </c>
      <c r="J1118" s="245">
        <v>14.1</v>
      </c>
      <c r="K1118" s="245">
        <v>17</v>
      </c>
      <c r="L1118" s="245">
        <v>18.2</v>
      </c>
      <c r="M1118" s="245">
        <v>17.399999999999999</v>
      </c>
      <c r="N1118" s="245">
        <v>13.1</v>
      </c>
      <c r="O1118" s="245">
        <v>7.7</v>
      </c>
      <c r="P1118" s="245">
        <v>2.2999999999999998</v>
      </c>
      <c r="Q1118" s="245">
        <v>-2.2000000000000002</v>
      </c>
      <c r="R1118" s="246">
        <v>7.2</v>
      </c>
      <c r="S1118" s="233">
        <v>624</v>
      </c>
      <c r="T1118" s="247" t="s">
        <v>2286</v>
      </c>
      <c r="U1118" s="245">
        <v>-27</v>
      </c>
      <c r="V1118" s="245">
        <v>-25</v>
      </c>
      <c r="W1118" s="245">
        <v>-23</v>
      </c>
      <c r="X1118" s="245">
        <v>-21</v>
      </c>
      <c r="Y1118" s="245">
        <v>-10</v>
      </c>
      <c r="Z1118" s="245">
        <v>-35</v>
      </c>
      <c r="AA1118" s="245" t="s">
        <v>2287</v>
      </c>
      <c r="AB1118" s="245">
        <v>102</v>
      </c>
      <c r="AC1118" s="245">
        <v>-3.5</v>
      </c>
      <c r="AD1118" s="245">
        <v>180</v>
      </c>
      <c r="AE1118" s="245">
        <v>-0.4</v>
      </c>
      <c r="AF1118" s="245">
        <v>199</v>
      </c>
      <c r="AG1118" s="245">
        <v>0.5</v>
      </c>
      <c r="AH1118" s="245" t="s">
        <v>956</v>
      </c>
      <c r="AI1118" s="245" t="s">
        <v>956</v>
      </c>
      <c r="AJ1118" s="245">
        <v>182</v>
      </c>
      <c r="AK1118" s="245" t="s">
        <v>963</v>
      </c>
      <c r="AL1118" s="245" t="s">
        <v>931</v>
      </c>
      <c r="AM1118" s="246" t="s">
        <v>931</v>
      </c>
      <c r="AN1118" s="235">
        <v>625</v>
      </c>
      <c r="AO1118" s="247" t="s">
        <v>2288</v>
      </c>
      <c r="AP1118" s="247">
        <v>1000</v>
      </c>
      <c r="AQ1118" s="247">
        <v>26</v>
      </c>
      <c r="AR1118" s="247">
        <v>23</v>
      </c>
      <c r="AS1118" s="247">
        <v>24</v>
      </c>
      <c r="AT1118" s="247">
        <v>38</v>
      </c>
      <c r="AU1118" s="247" t="s">
        <v>934</v>
      </c>
      <c r="AV1118" s="247" t="s">
        <v>958</v>
      </c>
      <c r="AW1118" s="247" t="s">
        <v>931</v>
      </c>
      <c r="AX1118" s="247" t="s">
        <v>931</v>
      </c>
      <c r="AY1118" s="247">
        <v>106</v>
      </c>
      <c r="AZ1118" s="247" t="s">
        <v>952</v>
      </c>
      <c r="BA1118" s="248">
        <v>1.1000000000000001</v>
      </c>
      <c r="BB1118" s="235"/>
      <c r="BC1118" s="247" t="s">
        <v>2286</v>
      </c>
      <c r="BD1118" s="247"/>
      <c r="BE1118" s="247"/>
      <c r="BF1118" s="247"/>
      <c r="BG1118" s="247"/>
      <c r="BH1118" s="247"/>
      <c r="BI1118" s="247"/>
      <c r="BJ1118" s="247"/>
      <c r="BK1118" s="247"/>
      <c r="BL1118" s="247"/>
      <c r="BM1118" s="247"/>
      <c r="BN1118" s="247"/>
      <c r="BO1118" s="247"/>
      <c r="BP1118" s="248"/>
    </row>
    <row r="1119" spans="1:68" ht="14.25" customHeight="1">
      <c r="A1119" s="233">
        <v>462</v>
      </c>
      <c r="B1119" s="234">
        <v>431</v>
      </c>
      <c r="C1119" s="244" t="s">
        <v>928</v>
      </c>
      <c r="D1119" s="244" t="s">
        <v>969</v>
      </c>
      <c r="E1119" s="244" t="s">
        <v>2289</v>
      </c>
      <c r="F1119" s="245">
        <v>-35.1</v>
      </c>
      <c r="G1119" s="245">
        <v>-33.299999999999997</v>
      </c>
      <c r="H1119" s="245">
        <v>-28.8</v>
      </c>
      <c r="I1119" s="245">
        <v>-18.7</v>
      </c>
      <c r="J1119" s="245">
        <v>-7.3</v>
      </c>
      <c r="K1119" s="245">
        <v>5.5</v>
      </c>
      <c r="L1119" s="245">
        <v>11.9</v>
      </c>
      <c r="M1119" s="245">
        <v>8.3000000000000007</v>
      </c>
      <c r="N1119" s="245">
        <v>1.1000000000000001</v>
      </c>
      <c r="O1119" s="245">
        <v>-12.6</v>
      </c>
      <c r="P1119" s="245">
        <v>-27.7</v>
      </c>
      <c r="Q1119" s="245">
        <v>-31.4</v>
      </c>
      <c r="R1119" s="246">
        <v>-14</v>
      </c>
      <c r="S1119" s="233">
        <v>431</v>
      </c>
      <c r="T1119" s="247" t="s">
        <v>2289</v>
      </c>
      <c r="U1119" s="245">
        <v>-57</v>
      </c>
      <c r="V1119" s="245">
        <v>-54</v>
      </c>
      <c r="W1119" s="245">
        <v>-55</v>
      </c>
      <c r="X1119" s="245">
        <v>-53</v>
      </c>
      <c r="Y1119" s="245">
        <v>-40</v>
      </c>
      <c r="Z1119" s="245">
        <v>-58</v>
      </c>
      <c r="AA1119" s="245">
        <v>7.9</v>
      </c>
      <c r="AB1119" s="245">
        <v>257</v>
      </c>
      <c r="AC1119" s="245">
        <v>-22.6</v>
      </c>
      <c r="AD1119" s="245">
        <v>314</v>
      </c>
      <c r="AE1119" s="245">
        <v>-17.8</v>
      </c>
      <c r="AF1119" s="245">
        <v>340</v>
      </c>
      <c r="AG1119" s="245">
        <v>-15.8</v>
      </c>
      <c r="AH1119" s="245">
        <v>75</v>
      </c>
      <c r="AI1119" s="245">
        <v>75</v>
      </c>
      <c r="AJ1119" s="245">
        <v>50</v>
      </c>
      <c r="AK1119" s="245" t="s">
        <v>990</v>
      </c>
      <c r="AL1119" s="245" t="s">
        <v>931</v>
      </c>
      <c r="AM1119" s="246">
        <v>3.4</v>
      </c>
      <c r="AN1119" s="235">
        <v>431</v>
      </c>
      <c r="AO1119" s="247" t="s">
        <v>2290</v>
      </c>
      <c r="AP1119" s="247">
        <v>1010</v>
      </c>
      <c r="AQ1119" s="247">
        <v>14.9</v>
      </c>
      <c r="AR1119" s="247">
        <v>19.399999999999999</v>
      </c>
      <c r="AS1119" s="247">
        <v>17.3</v>
      </c>
      <c r="AT1119" s="247">
        <v>36</v>
      </c>
      <c r="AU1119" s="247">
        <v>10.4</v>
      </c>
      <c r="AV1119" s="247">
        <v>70</v>
      </c>
      <c r="AW1119" s="247">
        <v>59</v>
      </c>
      <c r="AX1119" s="247">
        <v>178</v>
      </c>
      <c r="AY1119" s="247">
        <v>34</v>
      </c>
      <c r="AZ1119" s="247" t="s">
        <v>959</v>
      </c>
      <c r="BA1119" s="248" t="s">
        <v>934</v>
      </c>
      <c r="BB1119" s="235">
        <v>394</v>
      </c>
      <c r="BC1119" s="247" t="s">
        <v>2289</v>
      </c>
      <c r="BD1119" s="247">
        <v>0.4</v>
      </c>
      <c r="BE1119" s="247">
        <v>0.4</v>
      </c>
      <c r="BF1119" s="247">
        <v>0.6</v>
      </c>
      <c r="BG1119" s="247">
        <v>1.3</v>
      </c>
      <c r="BH1119" s="247">
        <v>3.1</v>
      </c>
      <c r="BI1119" s="247">
        <v>6.8</v>
      </c>
      <c r="BJ1119" s="247">
        <v>9.6</v>
      </c>
      <c r="BK1119" s="247">
        <v>8.6</v>
      </c>
      <c r="BL1119" s="247">
        <v>5.7</v>
      </c>
      <c r="BM1119" s="247">
        <v>2.2999999999999998</v>
      </c>
      <c r="BN1119" s="247">
        <v>0.7</v>
      </c>
      <c r="BO1119" s="247">
        <v>0.5</v>
      </c>
      <c r="BP1119" s="248">
        <v>3.3</v>
      </c>
    </row>
    <row r="1120" spans="1:68" ht="14.25" customHeight="1">
      <c r="A1120" s="233">
        <v>463</v>
      </c>
      <c r="B1120" s="234">
        <v>198</v>
      </c>
      <c r="C1120" s="244" t="s">
        <v>928</v>
      </c>
      <c r="D1120" s="244" t="s">
        <v>2273</v>
      </c>
      <c r="E1120" s="244" t="s">
        <v>2291</v>
      </c>
      <c r="F1120" s="245">
        <v>-9.8000000000000007</v>
      </c>
      <c r="G1120" s="245">
        <v>-9.6999999999999993</v>
      </c>
      <c r="H1120" s="245">
        <v>-5.7</v>
      </c>
      <c r="I1120" s="245">
        <v>1.9</v>
      </c>
      <c r="J1120" s="245">
        <v>8.9</v>
      </c>
      <c r="K1120" s="245">
        <v>14.1</v>
      </c>
      <c r="L1120" s="245">
        <v>16.899999999999999</v>
      </c>
      <c r="M1120" s="245">
        <v>15.2</v>
      </c>
      <c r="N1120" s="245">
        <v>10</v>
      </c>
      <c r="O1120" s="245">
        <v>4</v>
      </c>
      <c r="P1120" s="245">
        <v>-1.6</v>
      </c>
      <c r="Q1120" s="245">
        <v>-6.7</v>
      </c>
      <c r="R1120" s="246">
        <v>3.1</v>
      </c>
      <c r="S1120" s="233">
        <v>198</v>
      </c>
      <c r="T1120" s="247" t="s">
        <v>2292</v>
      </c>
      <c r="U1120" s="245">
        <v>-37</v>
      </c>
      <c r="V1120" s="245">
        <v>-34</v>
      </c>
      <c r="W1120" s="245">
        <v>-32</v>
      </c>
      <c r="X1120" s="245">
        <v>-29</v>
      </c>
      <c r="Y1120" s="245">
        <v>-15</v>
      </c>
      <c r="Z1120" s="245">
        <v>-48</v>
      </c>
      <c r="AA1120" s="245">
        <v>7.1</v>
      </c>
      <c r="AB1120" s="245">
        <v>152</v>
      </c>
      <c r="AC1120" s="245">
        <v>-6.4</v>
      </c>
      <c r="AD1120" s="245">
        <v>228</v>
      </c>
      <c r="AE1120" s="245">
        <v>-2.9</v>
      </c>
      <c r="AF1120" s="245">
        <v>249</v>
      </c>
      <c r="AG1120" s="245">
        <v>-1.9</v>
      </c>
      <c r="AH1120" s="245">
        <v>86</v>
      </c>
      <c r="AI1120" s="245">
        <v>86</v>
      </c>
      <c r="AJ1120" s="245">
        <v>231</v>
      </c>
      <c r="AK1120" s="245" t="s">
        <v>963</v>
      </c>
      <c r="AL1120" s="245">
        <v>5.5</v>
      </c>
      <c r="AM1120" s="246">
        <v>4.2</v>
      </c>
      <c r="AN1120" s="235">
        <v>200</v>
      </c>
      <c r="AO1120" s="247" t="s">
        <v>2293</v>
      </c>
      <c r="AP1120" s="247">
        <v>1010</v>
      </c>
      <c r="AQ1120" s="247">
        <v>19.399999999999999</v>
      </c>
      <c r="AR1120" s="247">
        <v>23.7</v>
      </c>
      <c r="AS1120" s="247">
        <v>21.8</v>
      </c>
      <c r="AT1120" s="247">
        <v>34</v>
      </c>
      <c r="AU1120" s="247">
        <v>9.6999999999999993</v>
      </c>
      <c r="AV1120" s="247">
        <v>76</v>
      </c>
      <c r="AW1120" s="247">
        <v>64</v>
      </c>
      <c r="AX1120" s="247">
        <v>405</v>
      </c>
      <c r="AY1120" s="247">
        <v>76</v>
      </c>
      <c r="AZ1120" s="247" t="s">
        <v>959</v>
      </c>
      <c r="BA1120" s="248">
        <v>4.4000000000000004</v>
      </c>
      <c r="BB1120" s="235">
        <v>173</v>
      </c>
      <c r="BC1120" s="247" t="s">
        <v>2291</v>
      </c>
      <c r="BD1120" s="247">
        <v>3</v>
      </c>
      <c r="BE1120" s="247">
        <v>3</v>
      </c>
      <c r="BF1120" s="247">
        <v>3.7</v>
      </c>
      <c r="BG1120" s="247">
        <v>5.6</v>
      </c>
      <c r="BH1120" s="247">
        <v>8.1</v>
      </c>
      <c r="BI1120" s="247">
        <v>11.8</v>
      </c>
      <c r="BJ1120" s="247">
        <v>14.8</v>
      </c>
      <c r="BK1120" s="247">
        <v>14.3</v>
      </c>
      <c r="BL1120" s="247">
        <v>10.6</v>
      </c>
      <c r="BM1120" s="247">
        <v>7.3</v>
      </c>
      <c r="BN1120" s="247">
        <v>5.2</v>
      </c>
      <c r="BO1120" s="247">
        <v>3.8</v>
      </c>
      <c r="BP1120" s="248">
        <v>7.6</v>
      </c>
    </row>
    <row r="1121" spans="1:68" ht="14.25" customHeight="1">
      <c r="A1121" s="233">
        <v>464</v>
      </c>
      <c r="B1121" s="234">
        <v>28</v>
      </c>
      <c r="C1121" s="244" t="s">
        <v>928</v>
      </c>
      <c r="D1121" s="244" t="s">
        <v>1046</v>
      </c>
      <c r="E1121" s="244" t="s">
        <v>2294</v>
      </c>
      <c r="F1121" s="245">
        <v>-27.7</v>
      </c>
      <c r="G1121" s="245">
        <v>-21.6</v>
      </c>
      <c r="H1121" s="245">
        <v>-12.1</v>
      </c>
      <c r="I1121" s="245">
        <v>1</v>
      </c>
      <c r="J1121" s="245">
        <v>9.6</v>
      </c>
      <c r="K1121" s="245">
        <v>16.600000000000001</v>
      </c>
      <c r="L1121" s="245">
        <v>20.2</v>
      </c>
      <c r="M1121" s="245">
        <v>17.7</v>
      </c>
      <c r="N1121" s="245">
        <v>10.6</v>
      </c>
      <c r="O1121" s="245">
        <v>0</v>
      </c>
      <c r="P1121" s="245">
        <v>-14.9</v>
      </c>
      <c r="Q1121" s="245">
        <v>-25.4</v>
      </c>
      <c r="R1121" s="246">
        <v>-2.2000000000000002</v>
      </c>
      <c r="S1121" s="233">
        <v>28</v>
      </c>
      <c r="T1121" s="247" t="s">
        <v>2295</v>
      </c>
      <c r="U1121" s="245">
        <v>-44</v>
      </c>
      <c r="V1121" s="245">
        <v>-42</v>
      </c>
      <c r="W1121" s="245">
        <v>-41</v>
      </c>
      <c r="X1121" s="245">
        <v>-39</v>
      </c>
      <c r="Y1121" s="245">
        <v>-33</v>
      </c>
      <c r="Z1121" s="245">
        <v>-52</v>
      </c>
      <c r="AA1121" s="245">
        <v>12.2</v>
      </c>
      <c r="AB1121" s="245">
        <v>179</v>
      </c>
      <c r="AC1121" s="245">
        <v>-17.100000000000001</v>
      </c>
      <c r="AD1121" s="245">
        <v>229</v>
      </c>
      <c r="AE1121" s="245">
        <v>-12.4</v>
      </c>
      <c r="AF1121" s="245">
        <v>242</v>
      </c>
      <c r="AG1121" s="245">
        <v>-11.3</v>
      </c>
      <c r="AH1121" s="245">
        <v>70</v>
      </c>
      <c r="AI1121" s="245">
        <v>63</v>
      </c>
      <c r="AJ1121" s="245">
        <v>66</v>
      </c>
      <c r="AK1121" s="245" t="s">
        <v>944</v>
      </c>
      <c r="AL1121" s="245" t="s">
        <v>931</v>
      </c>
      <c r="AM1121" s="246" t="s">
        <v>931</v>
      </c>
      <c r="AN1121" s="235">
        <v>28</v>
      </c>
      <c r="AO1121" s="247" t="s">
        <v>2296</v>
      </c>
      <c r="AP1121" s="247">
        <v>985</v>
      </c>
      <c r="AQ1121" s="247">
        <v>24.2</v>
      </c>
      <c r="AR1121" s="247">
        <v>28.3</v>
      </c>
      <c r="AS1121" s="247">
        <v>26.6</v>
      </c>
      <c r="AT1121" s="247">
        <v>40</v>
      </c>
      <c r="AU1121" s="247">
        <v>12.5</v>
      </c>
      <c r="AV1121" s="247">
        <v>78</v>
      </c>
      <c r="AW1121" s="247">
        <v>60</v>
      </c>
      <c r="AX1121" s="247">
        <v>578</v>
      </c>
      <c r="AY1121" s="247">
        <v>89</v>
      </c>
      <c r="AZ1121" s="247" t="s">
        <v>959</v>
      </c>
      <c r="BA1121" s="248" t="s">
        <v>934</v>
      </c>
      <c r="BB1121" s="235"/>
      <c r="BC1121" s="247" t="s">
        <v>2294</v>
      </c>
      <c r="BD1121" s="247"/>
      <c r="BE1121" s="247"/>
      <c r="BF1121" s="247"/>
      <c r="BG1121" s="247"/>
      <c r="BH1121" s="247"/>
      <c r="BI1121" s="247"/>
      <c r="BJ1121" s="247"/>
      <c r="BK1121" s="247"/>
      <c r="BL1121" s="247"/>
      <c r="BM1121" s="247"/>
      <c r="BN1121" s="247"/>
      <c r="BO1121" s="247"/>
      <c r="BP1121" s="248"/>
    </row>
    <row r="1122" spans="1:68" ht="14.25" customHeight="1">
      <c r="A1122" s="233">
        <v>465</v>
      </c>
      <c r="B1122" s="234">
        <v>465</v>
      </c>
      <c r="C1122" s="244" t="s">
        <v>1253</v>
      </c>
      <c r="D1122" s="244" t="s">
        <v>1253</v>
      </c>
      <c r="E1122" s="244" t="s">
        <v>2297</v>
      </c>
      <c r="F1122" s="245">
        <v>-8.1999999999999993</v>
      </c>
      <c r="G1122" s="245">
        <v>-7.4</v>
      </c>
      <c r="H1122" s="245">
        <v>-3.3</v>
      </c>
      <c r="I1122" s="245">
        <v>3.5</v>
      </c>
      <c r="J1122" s="245">
        <v>8.8000000000000007</v>
      </c>
      <c r="K1122" s="245">
        <v>12.1</v>
      </c>
      <c r="L1122" s="245">
        <v>15.7</v>
      </c>
      <c r="M1122" s="245">
        <v>15.7</v>
      </c>
      <c r="N1122" s="245">
        <v>12.2</v>
      </c>
      <c r="O1122" s="245">
        <v>6.4</v>
      </c>
      <c r="P1122" s="245">
        <v>0.6</v>
      </c>
      <c r="Q1122" s="245">
        <v>-5.5</v>
      </c>
      <c r="R1122" s="246">
        <v>4.2</v>
      </c>
      <c r="S1122" s="233">
        <v>465</v>
      </c>
      <c r="T1122" s="247" t="s">
        <v>2298</v>
      </c>
      <c r="U1122" s="245">
        <v>-23</v>
      </c>
      <c r="V1122" s="245">
        <v>-20</v>
      </c>
      <c r="W1122" s="245">
        <v>-20</v>
      </c>
      <c r="X1122" s="245">
        <v>-18</v>
      </c>
      <c r="Y1122" s="245" t="s">
        <v>956</v>
      </c>
      <c r="Z1122" s="245">
        <v>-33</v>
      </c>
      <c r="AA1122" s="245">
        <v>7.6</v>
      </c>
      <c r="AB1122" s="245">
        <v>134</v>
      </c>
      <c r="AC1122" s="245">
        <v>-5.6</v>
      </c>
      <c r="AD1122" s="245">
        <v>213</v>
      </c>
      <c r="AE1122" s="245">
        <v>-2</v>
      </c>
      <c r="AF1122" s="245">
        <v>240</v>
      </c>
      <c r="AG1122" s="245">
        <v>-0.7</v>
      </c>
      <c r="AH1122" s="245">
        <v>81</v>
      </c>
      <c r="AI1122" s="245">
        <v>78</v>
      </c>
      <c r="AJ1122" s="245">
        <v>161</v>
      </c>
      <c r="AK1122" s="245" t="s">
        <v>950</v>
      </c>
      <c r="AL1122" s="245">
        <v>5.0999999999999996</v>
      </c>
      <c r="AM1122" s="246" t="s">
        <v>931</v>
      </c>
      <c r="AN1122" s="235">
        <v>465</v>
      </c>
      <c r="AO1122" s="247" t="s">
        <v>2299</v>
      </c>
      <c r="AP1122" s="247">
        <v>805</v>
      </c>
      <c r="AQ1122" s="247" t="s">
        <v>958</v>
      </c>
      <c r="AR1122" s="247" t="s">
        <v>931</v>
      </c>
      <c r="AS1122" s="247">
        <v>21.9</v>
      </c>
      <c r="AT1122" s="247">
        <v>35</v>
      </c>
      <c r="AU1122" s="247" t="s">
        <v>934</v>
      </c>
      <c r="AV1122" s="247">
        <v>71</v>
      </c>
      <c r="AW1122" s="247">
        <v>57</v>
      </c>
      <c r="AX1122" s="247">
        <v>427</v>
      </c>
      <c r="AY1122" s="247" t="s">
        <v>965</v>
      </c>
      <c r="AZ1122" s="247" t="s">
        <v>940</v>
      </c>
      <c r="BA1122" s="248">
        <v>0</v>
      </c>
      <c r="BB1122" s="235"/>
      <c r="BC1122" s="247" t="s">
        <v>2298</v>
      </c>
      <c r="BD1122" s="247"/>
      <c r="BE1122" s="247"/>
      <c r="BF1122" s="247"/>
      <c r="BG1122" s="247"/>
      <c r="BH1122" s="247"/>
      <c r="BI1122" s="247"/>
      <c r="BJ1122" s="247"/>
      <c r="BK1122" s="247"/>
      <c r="BL1122" s="247"/>
      <c r="BM1122" s="247"/>
      <c r="BN1122" s="247"/>
      <c r="BO1122" s="247"/>
      <c r="BP1122" s="248"/>
    </row>
    <row r="1123" spans="1:68" ht="14.25" customHeight="1">
      <c r="A1123" s="233">
        <v>466</v>
      </c>
      <c r="B1123" s="234">
        <v>532</v>
      </c>
      <c r="C1123" s="244" t="s">
        <v>960</v>
      </c>
      <c r="D1123" s="244" t="s">
        <v>1078</v>
      </c>
      <c r="E1123" s="244" t="s">
        <v>2300</v>
      </c>
      <c r="F1123" s="245">
        <v>-16</v>
      </c>
      <c r="G1123" s="245">
        <v>-15.6</v>
      </c>
      <c r="H1123" s="245">
        <v>-8.4</v>
      </c>
      <c r="I1123" s="245">
        <v>4.7</v>
      </c>
      <c r="J1123" s="245">
        <v>14.1</v>
      </c>
      <c r="K1123" s="245">
        <v>19.8</v>
      </c>
      <c r="L1123" s="245">
        <v>21.9</v>
      </c>
      <c r="M1123" s="245">
        <v>19.3</v>
      </c>
      <c r="N1123" s="245">
        <v>13</v>
      </c>
      <c r="O1123" s="245">
        <v>4.5</v>
      </c>
      <c r="P1123" s="245">
        <v>-5.9</v>
      </c>
      <c r="Q1123" s="245">
        <v>-13.3</v>
      </c>
      <c r="R1123" s="246">
        <v>3.2</v>
      </c>
      <c r="S1123" s="233">
        <v>532</v>
      </c>
      <c r="T1123" s="247" t="s">
        <v>2300</v>
      </c>
      <c r="U1123" s="245">
        <v>-44</v>
      </c>
      <c r="V1123" s="245">
        <v>-41</v>
      </c>
      <c r="W1123" s="245">
        <v>-40</v>
      </c>
      <c r="X1123" s="245">
        <v>-36</v>
      </c>
      <c r="Y1123" s="245" t="s">
        <v>956</v>
      </c>
      <c r="Z1123" s="245" t="s">
        <v>931</v>
      </c>
      <c r="AA1123" s="245">
        <v>9.8000000000000007</v>
      </c>
      <c r="AB1123" s="245">
        <v>159</v>
      </c>
      <c r="AC1123" s="245">
        <v>-11.2</v>
      </c>
      <c r="AD1123" s="245">
        <v>203</v>
      </c>
      <c r="AE1123" s="245">
        <v>-7.8</v>
      </c>
      <c r="AF1123" s="245">
        <v>216</v>
      </c>
      <c r="AG1123" s="245">
        <v>-6.8</v>
      </c>
      <c r="AH1123" s="245">
        <v>76</v>
      </c>
      <c r="AI1123" s="245" t="s">
        <v>956</v>
      </c>
      <c r="AJ1123" s="245">
        <v>109</v>
      </c>
      <c r="AK1123" s="245" t="s">
        <v>931</v>
      </c>
      <c r="AL1123" s="245" t="s">
        <v>931</v>
      </c>
      <c r="AM1123" s="246" t="s">
        <v>931</v>
      </c>
      <c r="AN1123" s="235">
        <v>532</v>
      </c>
      <c r="AO1123" s="247" t="s">
        <v>2301</v>
      </c>
      <c r="AP1123" s="247" t="s">
        <v>965</v>
      </c>
      <c r="AQ1123" s="247" t="s">
        <v>958</v>
      </c>
      <c r="AR1123" s="247" t="s">
        <v>931</v>
      </c>
      <c r="AS1123" s="247">
        <v>28.9</v>
      </c>
      <c r="AT1123" s="247">
        <v>42</v>
      </c>
      <c r="AU1123" s="247">
        <v>14.2</v>
      </c>
      <c r="AV1123" s="247">
        <v>58</v>
      </c>
      <c r="AW1123" s="247" t="s">
        <v>931</v>
      </c>
      <c r="AX1123" s="247">
        <v>197</v>
      </c>
      <c r="AY1123" s="247" t="s">
        <v>965</v>
      </c>
      <c r="AZ1123" s="247" t="s">
        <v>933</v>
      </c>
      <c r="BA1123" s="248" t="s">
        <v>934</v>
      </c>
      <c r="BB1123" s="235"/>
      <c r="BC1123" s="247" t="s">
        <v>2300</v>
      </c>
      <c r="BD1123" s="247"/>
      <c r="BE1123" s="247"/>
      <c r="BF1123" s="247"/>
      <c r="BG1123" s="247"/>
      <c r="BH1123" s="247"/>
      <c r="BI1123" s="247"/>
      <c r="BJ1123" s="247"/>
      <c r="BK1123" s="247"/>
      <c r="BL1123" s="247"/>
      <c r="BM1123" s="247"/>
      <c r="BN1123" s="247"/>
      <c r="BO1123" s="247"/>
      <c r="BP1123" s="248"/>
    </row>
    <row r="1124" spans="1:68" ht="14.25" customHeight="1">
      <c r="A1124" s="233">
        <v>467</v>
      </c>
      <c r="B1124" s="234">
        <v>123</v>
      </c>
      <c r="C1124" s="244" t="s">
        <v>928</v>
      </c>
      <c r="D1124" s="244" t="s">
        <v>1023</v>
      </c>
      <c r="E1124" s="244" t="s">
        <v>2302</v>
      </c>
      <c r="F1124" s="245">
        <v>-6.3</v>
      </c>
      <c r="G1124" s="245">
        <v>-6.2</v>
      </c>
      <c r="H1124" s="245">
        <v>-4.7</v>
      </c>
      <c r="I1124" s="245">
        <v>-1</v>
      </c>
      <c r="J1124" s="245">
        <v>3.2</v>
      </c>
      <c r="K1124" s="245">
        <v>7.3</v>
      </c>
      <c r="L1124" s="245">
        <v>11.4</v>
      </c>
      <c r="M1124" s="245">
        <v>12.8</v>
      </c>
      <c r="N1124" s="245">
        <v>9.9</v>
      </c>
      <c r="O1124" s="245">
        <v>4.7</v>
      </c>
      <c r="P1124" s="245">
        <v>-1.8</v>
      </c>
      <c r="Q1124" s="245">
        <v>-5.2</v>
      </c>
      <c r="R1124" s="246">
        <v>2</v>
      </c>
      <c r="S1124" s="233">
        <v>123</v>
      </c>
      <c r="T1124" s="247" t="s">
        <v>2303</v>
      </c>
      <c r="U1124" s="245">
        <v>-19</v>
      </c>
      <c r="V1124" s="245">
        <v>-18</v>
      </c>
      <c r="W1124" s="245">
        <v>-18</v>
      </c>
      <c r="X1124" s="245">
        <v>-16</v>
      </c>
      <c r="Y1124" s="245">
        <v>-11</v>
      </c>
      <c r="Z1124" s="245">
        <v>-25</v>
      </c>
      <c r="AA1124" s="245">
        <v>4.8</v>
      </c>
      <c r="AB1124" s="245">
        <v>167</v>
      </c>
      <c r="AC1124" s="245">
        <v>-4.4000000000000004</v>
      </c>
      <c r="AD1124" s="245">
        <v>267</v>
      </c>
      <c r="AE1124" s="245">
        <v>1.2</v>
      </c>
      <c r="AF1124" s="245">
        <v>294</v>
      </c>
      <c r="AG1124" s="245">
        <v>-0.2</v>
      </c>
      <c r="AH1124" s="245">
        <v>65</v>
      </c>
      <c r="AI1124" s="245">
        <v>63</v>
      </c>
      <c r="AJ1124" s="245" t="s">
        <v>1018</v>
      </c>
      <c r="AK1124" s="245" t="s">
        <v>938</v>
      </c>
      <c r="AL1124" s="245">
        <v>12.2</v>
      </c>
      <c r="AM1124" s="246" t="s">
        <v>931</v>
      </c>
      <c r="AN1124" s="235">
        <v>123</v>
      </c>
      <c r="AO1124" s="247" t="s">
        <v>2304</v>
      </c>
      <c r="AP1124" s="247">
        <v>1010</v>
      </c>
      <c r="AQ1124" s="247">
        <v>13.6</v>
      </c>
      <c r="AR1124" s="247">
        <v>18.2</v>
      </c>
      <c r="AS1124" s="247">
        <v>16</v>
      </c>
      <c r="AT1124" s="247">
        <v>31</v>
      </c>
      <c r="AU1124" s="247">
        <v>5.7</v>
      </c>
      <c r="AV1124" s="247">
        <v>85</v>
      </c>
      <c r="AW1124" s="247">
        <v>81</v>
      </c>
      <c r="AX1124" s="247">
        <v>864</v>
      </c>
      <c r="AY1124" s="247" t="s">
        <v>965</v>
      </c>
      <c r="AZ1124" s="247" t="s">
        <v>973</v>
      </c>
      <c r="BA1124" s="248">
        <v>0</v>
      </c>
      <c r="BB1124" s="235">
        <v>107</v>
      </c>
      <c r="BC1124" s="247" t="s">
        <v>2302</v>
      </c>
      <c r="BD1124" s="247">
        <v>2.8</v>
      </c>
      <c r="BE1124" s="247">
        <v>2.7</v>
      </c>
      <c r="BF1124" s="247">
        <v>3</v>
      </c>
      <c r="BG1124" s="247">
        <v>4.2</v>
      </c>
      <c r="BH1124" s="247">
        <v>6.1</v>
      </c>
      <c r="BI1124" s="247">
        <v>8.8000000000000007</v>
      </c>
      <c r="BJ1124" s="247">
        <v>11.9</v>
      </c>
      <c r="BK1124" s="247">
        <v>12.5</v>
      </c>
      <c r="BL1124" s="247">
        <v>9.6999999999999993</v>
      </c>
      <c r="BM1124" s="247">
        <v>5.7</v>
      </c>
      <c r="BN1124" s="247">
        <v>3.4</v>
      </c>
      <c r="BO1124" s="247">
        <v>3</v>
      </c>
      <c r="BP1124" s="248">
        <v>6.2</v>
      </c>
    </row>
    <row r="1125" spans="1:68" ht="14.25" customHeight="1">
      <c r="A1125" s="233">
        <v>468</v>
      </c>
      <c r="B1125" s="234">
        <v>552</v>
      </c>
      <c r="C1125" s="249" t="s">
        <v>1074</v>
      </c>
      <c r="D1125" s="249" t="s">
        <v>1075</v>
      </c>
      <c r="E1125" s="244" t="s">
        <v>2305</v>
      </c>
      <c r="F1125" s="245"/>
      <c r="G1125" s="245"/>
      <c r="H1125" s="245"/>
      <c r="I1125" s="245"/>
      <c r="J1125" s="245"/>
      <c r="K1125" s="245"/>
      <c r="L1125" s="245"/>
      <c r="M1125" s="245"/>
      <c r="N1125" s="245"/>
      <c r="O1125" s="245"/>
      <c r="P1125" s="245"/>
      <c r="Q1125" s="245"/>
      <c r="R1125" s="246"/>
      <c r="S1125" s="250">
        <v>552</v>
      </c>
      <c r="T1125" s="247" t="s">
        <v>2305</v>
      </c>
      <c r="U1125" s="245">
        <v>-18</v>
      </c>
      <c r="V1125" s="245">
        <v>-14</v>
      </c>
      <c r="W1125" s="245">
        <v>-14</v>
      </c>
      <c r="X1125" s="245">
        <v>-11</v>
      </c>
      <c r="Y1125" s="245">
        <v>-3</v>
      </c>
      <c r="Z1125" s="245">
        <v>-26</v>
      </c>
      <c r="AA1125" s="245">
        <v>9.6999999999999993</v>
      </c>
      <c r="AB1125" s="245">
        <v>0</v>
      </c>
      <c r="AC1125" s="245" t="s">
        <v>830</v>
      </c>
      <c r="AD1125" s="245">
        <v>96</v>
      </c>
      <c r="AE1125" s="245">
        <v>4.9000000000000004</v>
      </c>
      <c r="AF1125" s="245">
        <v>117</v>
      </c>
      <c r="AG1125" s="245">
        <v>5.7</v>
      </c>
      <c r="AH1125" s="245" t="s">
        <v>956</v>
      </c>
      <c r="AI1125" s="245">
        <v>63</v>
      </c>
      <c r="AJ1125" s="245">
        <v>150</v>
      </c>
      <c r="AK1125" s="245" t="s">
        <v>944</v>
      </c>
      <c r="AL1125" s="245">
        <v>4.8</v>
      </c>
      <c r="AM1125" s="246" t="s">
        <v>931</v>
      </c>
      <c r="AN1125" s="235">
        <v>553</v>
      </c>
      <c r="AO1125" s="247" t="s">
        <v>2306</v>
      </c>
      <c r="AP1125" s="247">
        <v>980</v>
      </c>
      <c r="AQ1125" s="247">
        <v>41</v>
      </c>
      <c r="AR1125" s="247">
        <v>35</v>
      </c>
      <c r="AS1125" s="247">
        <v>38.4</v>
      </c>
      <c r="AT1125" s="247">
        <v>47</v>
      </c>
      <c r="AU1125" s="247">
        <v>15.5</v>
      </c>
      <c r="AV1125" s="247">
        <v>24</v>
      </c>
      <c r="AW1125" s="247">
        <v>14</v>
      </c>
      <c r="AX1125" s="247">
        <v>58</v>
      </c>
      <c r="AY1125" s="247">
        <v>53</v>
      </c>
      <c r="AZ1125" s="247" t="s">
        <v>959</v>
      </c>
      <c r="BA1125" s="248">
        <v>2.6</v>
      </c>
      <c r="BB1125" s="235"/>
      <c r="BC1125" s="247" t="s">
        <v>2305</v>
      </c>
      <c r="BD1125" s="247"/>
      <c r="BE1125" s="247"/>
      <c r="BF1125" s="247"/>
      <c r="BG1125" s="247"/>
      <c r="BH1125" s="247"/>
      <c r="BI1125" s="247"/>
      <c r="BJ1125" s="247"/>
      <c r="BK1125" s="247"/>
      <c r="BL1125" s="247"/>
      <c r="BM1125" s="247"/>
      <c r="BN1125" s="247"/>
      <c r="BO1125" s="247"/>
      <c r="BP1125" s="248"/>
    </row>
    <row r="1126" spans="1:68" ht="14.25" customHeight="1">
      <c r="A1126" s="233">
        <v>469</v>
      </c>
      <c r="B1126" s="234">
        <v>362</v>
      </c>
      <c r="C1126" s="244" t="s">
        <v>928</v>
      </c>
      <c r="D1126" s="244" t="s">
        <v>1081</v>
      </c>
      <c r="E1126" s="244" t="s">
        <v>2307</v>
      </c>
      <c r="F1126" s="245">
        <v>-18.2</v>
      </c>
      <c r="G1126" s="245">
        <v>-15.3</v>
      </c>
      <c r="H1126" s="245">
        <v>-9.3000000000000007</v>
      </c>
      <c r="I1126" s="245">
        <v>-1.2</v>
      </c>
      <c r="J1126" s="245">
        <v>2.9</v>
      </c>
      <c r="K1126" s="245">
        <v>7.5</v>
      </c>
      <c r="L1126" s="245">
        <v>12.6</v>
      </c>
      <c r="M1126" s="245">
        <v>14.7</v>
      </c>
      <c r="N1126" s="245">
        <v>11.4</v>
      </c>
      <c r="O1126" s="245">
        <v>3.2</v>
      </c>
      <c r="P1126" s="245">
        <v>-7.5</v>
      </c>
      <c r="Q1126" s="245">
        <v>-14.9</v>
      </c>
      <c r="R1126" s="246">
        <v>-1.2</v>
      </c>
      <c r="S1126" s="233">
        <v>362</v>
      </c>
      <c r="T1126" s="247" t="s">
        <v>2308</v>
      </c>
      <c r="U1126" s="245">
        <v>-30</v>
      </c>
      <c r="V1126" s="245">
        <v>-29</v>
      </c>
      <c r="W1126" s="245">
        <v>-28</v>
      </c>
      <c r="X1126" s="245">
        <v>-26</v>
      </c>
      <c r="Y1126" s="245">
        <v>-23</v>
      </c>
      <c r="Z1126" s="245">
        <v>-43</v>
      </c>
      <c r="AA1126" s="245">
        <v>11.6</v>
      </c>
      <c r="AB1126" s="245">
        <v>181</v>
      </c>
      <c r="AC1126" s="245">
        <v>-10.8</v>
      </c>
      <c r="AD1126" s="245">
        <v>263</v>
      </c>
      <c r="AE1126" s="245">
        <v>-6.2</v>
      </c>
      <c r="AF1126" s="245">
        <v>283</v>
      </c>
      <c r="AG1126" s="245">
        <v>-5.0999999999999996</v>
      </c>
      <c r="AH1126" s="245">
        <v>65</v>
      </c>
      <c r="AI1126" s="245">
        <v>53</v>
      </c>
      <c r="AJ1126" s="245">
        <v>133</v>
      </c>
      <c r="AK1126" s="245" t="s">
        <v>950</v>
      </c>
      <c r="AL1126" s="245" t="s">
        <v>931</v>
      </c>
      <c r="AM1126" s="246">
        <v>3</v>
      </c>
      <c r="AN1126" s="235">
        <v>362</v>
      </c>
      <c r="AO1126" s="247" t="s">
        <v>2309</v>
      </c>
      <c r="AP1126" s="247">
        <v>1010</v>
      </c>
      <c r="AQ1126" s="247">
        <v>17</v>
      </c>
      <c r="AR1126" s="247">
        <v>21.4</v>
      </c>
      <c r="AS1126" s="247">
        <v>19.399999999999999</v>
      </c>
      <c r="AT1126" s="247">
        <v>36</v>
      </c>
      <c r="AU1126" s="247">
        <v>9.6999999999999993</v>
      </c>
      <c r="AV1126" s="247">
        <v>90</v>
      </c>
      <c r="AW1126" s="247">
        <v>80</v>
      </c>
      <c r="AX1126" s="247">
        <v>718</v>
      </c>
      <c r="AY1126" s="247">
        <v>92</v>
      </c>
      <c r="AZ1126" s="247" t="s">
        <v>1038</v>
      </c>
      <c r="BA1126" s="248" t="s">
        <v>934</v>
      </c>
      <c r="BB1126" s="235">
        <v>327</v>
      </c>
      <c r="BC1126" s="247" t="s">
        <v>2307</v>
      </c>
      <c r="BD1126" s="247">
        <v>1.1000000000000001</v>
      </c>
      <c r="BE1126" s="247">
        <v>1.4</v>
      </c>
      <c r="BF1126" s="247">
        <v>2.4</v>
      </c>
      <c r="BG1126" s="247">
        <v>4.4000000000000004</v>
      </c>
      <c r="BH1126" s="247">
        <v>6.5</v>
      </c>
      <c r="BI1126" s="247">
        <v>9.6</v>
      </c>
      <c r="BJ1126" s="247">
        <v>13.5</v>
      </c>
      <c r="BK1126" s="247">
        <v>15.2</v>
      </c>
      <c r="BL1126" s="247">
        <v>11.3</v>
      </c>
      <c r="BM1126" s="247">
        <v>5.7</v>
      </c>
      <c r="BN1126" s="247">
        <v>2.5</v>
      </c>
      <c r="BO1126" s="247">
        <v>1.4</v>
      </c>
      <c r="BP1126" s="248">
        <v>6.3</v>
      </c>
    </row>
    <row r="1127" spans="1:68" ht="14.25" customHeight="1">
      <c r="A1127" s="233">
        <v>470</v>
      </c>
      <c r="B1127" s="234">
        <v>651</v>
      </c>
      <c r="C1127" s="244" t="s">
        <v>953</v>
      </c>
      <c r="D1127" s="244" t="s">
        <v>954</v>
      </c>
      <c r="E1127" s="244" t="s">
        <v>2310</v>
      </c>
      <c r="F1127" s="245">
        <v>-0.5</v>
      </c>
      <c r="G1127" s="245">
        <v>0.4</v>
      </c>
      <c r="H1127" s="245">
        <v>3.6</v>
      </c>
      <c r="I1127" s="245">
        <v>10.199999999999999</v>
      </c>
      <c r="J1127" s="245">
        <v>15.2</v>
      </c>
      <c r="K1127" s="245">
        <v>19.2</v>
      </c>
      <c r="L1127" s="245">
        <v>21.5</v>
      </c>
      <c r="M1127" s="245">
        <v>21</v>
      </c>
      <c r="N1127" s="245">
        <v>16.600000000000001</v>
      </c>
      <c r="O1127" s="245">
        <v>10.7</v>
      </c>
      <c r="P1127" s="245">
        <v>6.3</v>
      </c>
      <c r="Q1127" s="245">
        <v>2.4</v>
      </c>
      <c r="R1127" s="246">
        <v>10.6</v>
      </c>
      <c r="S1127" s="233">
        <v>640</v>
      </c>
      <c r="T1127" s="247" t="s">
        <v>2310</v>
      </c>
      <c r="U1127" s="245">
        <v>-22</v>
      </c>
      <c r="V1127" s="245">
        <v>-20</v>
      </c>
      <c r="W1127" s="245">
        <v>-18</v>
      </c>
      <c r="X1127" s="245">
        <v>-15</v>
      </c>
      <c r="Y1127" s="245">
        <v>-3</v>
      </c>
      <c r="Z1127" s="245">
        <v>-30</v>
      </c>
      <c r="AA1127" s="245" t="s">
        <v>956</v>
      </c>
      <c r="AB1127" s="245">
        <v>37</v>
      </c>
      <c r="AC1127" s="245">
        <v>-0.5</v>
      </c>
      <c r="AD1127" s="245">
        <v>153</v>
      </c>
      <c r="AE1127" s="245">
        <v>2.6</v>
      </c>
      <c r="AF1127" s="245">
        <v>174</v>
      </c>
      <c r="AG1127" s="245">
        <v>3.4</v>
      </c>
      <c r="AH1127" s="245" t="s">
        <v>956</v>
      </c>
      <c r="AI1127" s="245" t="s">
        <v>956</v>
      </c>
      <c r="AJ1127" s="245">
        <v>210</v>
      </c>
      <c r="AK1127" s="245" t="s">
        <v>938</v>
      </c>
      <c r="AL1127" s="245">
        <v>7.4</v>
      </c>
      <c r="AM1127" s="246" t="s">
        <v>931</v>
      </c>
      <c r="AN1127" s="235">
        <v>641</v>
      </c>
      <c r="AO1127" s="247" t="s">
        <v>2311</v>
      </c>
      <c r="AP1127" s="247">
        <v>990</v>
      </c>
      <c r="AQ1127" s="247">
        <v>29</v>
      </c>
      <c r="AR1127" s="247">
        <v>26</v>
      </c>
      <c r="AS1127" s="247">
        <v>27.6</v>
      </c>
      <c r="AT1127" s="247">
        <v>39</v>
      </c>
      <c r="AU1127" s="247" t="s">
        <v>934</v>
      </c>
      <c r="AV1127" s="247" t="s">
        <v>958</v>
      </c>
      <c r="AW1127" s="247" t="s">
        <v>931</v>
      </c>
      <c r="AX1127" s="247" t="s">
        <v>931</v>
      </c>
      <c r="AY1127" s="247">
        <v>122</v>
      </c>
      <c r="AZ1127" s="247" t="s">
        <v>1038</v>
      </c>
      <c r="BA1127" s="248">
        <v>2.7</v>
      </c>
      <c r="BB1127" s="235"/>
      <c r="BC1127" s="247" t="s">
        <v>2310</v>
      </c>
      <c r="BD1127" s="247"/>
      <c r="BE1127" s="247"/>
      <c r="BF1127" s="247"/>
      <c r="BG1127" s="247"/>
      <c r="BH1127" s="247"/>
      <c r="BI1127" s="247"/>
      <c r="BJ1127" s="247"/>
      <c r="BK1127" s="247"/>
      <c r="BL1127" s="247"/>
      <c r="BM1127" s="247"/>
      <c r="BN1127" s="247"/>
      <c r="BO1127" s="247"/>
      <c r="BP1127" s="248"/>
    </row>
    <row r="1128" spans="1:68" ht="14.25" customHeight="1">
      <c r="A1128" s="233">
        <v>471</v>
      </c>
      <c r="B1128" s="234">
        <v>466</v>
      </c>
      <c r="C1128" s="244" t="s">
        <v>1253</v>
      </c>
      <c r="D1128" s="244" t="s">
        <v>1253</v>
      </c>
      <c r="E1128" s="244" t="s">
        <v>2312</v>
      </c>
      <c r="F1128" s="245">
        <v>-4.8</v>
      </c>
      <c r="G1128" s="245">
        <v>-3.2</v>
      </c>
      <c r="H1128" s="245">
        <v>0.5</v>
      </c>
      <c r="I1128" s="245">
        <v>6.5</v>
      </c>
      <c r="J1128" s="245">
        <v>11.3</v>
      </c>
      <c r="K1128" s="245">
        <v>14.8</v>
      </c>
      <c r="L1128" s="245">
        <v>17.899999999999999</v>
      </c>
      <c r="M1128" s="245">
        <v>17.600000000000001</v>
      </c>
      <c r="N1128" s="245">
        <v>13.8</v>
      </c>
      <c r="O1128" s="245">
        <v>8.3000000000000007</v>
      </c>
      <c r="P1128" s="245">
        <v>2.6</v>
      </c>
      <c r="Q1128" s="245">
        <v>-2.7</v>
      </c>
      <c r="R1128" s="246">
        <v>6.9</v>
      </c>
      <c r="S1128" s="233">
        <v>466</v>
      </c>
      <c r="T1128" s="247" t="s">
        <v>2313</v>
      </c>
      <c r="U1128" s="245">
        <v>-26</v>
      </c>
      <c r="V1128" s="245">
        <v>-23</v>
      </c>
      <c r="W1128" s="245">
        <v>-21</v>
      </c>
      <c r="X1128" s="245">
        <v>-19</v>
      </c>
      <c r="Y1128" s="245" t="s">
        <v>956</v>
      </c>
      <c r="Z1128" s="245">
        <v>-34</v>
      </c>
      <c r="AA1128" s="245" t="s">
        <v>956</v>
      </c>
      <c r="AB1128" s="245">
        <v>105</v>
      </c>
      <c r="AC1128" s="245">
        <v>-3.2</v>
      </c>
      <c r="AD1128" s="245">
        <v>189</v>
      </c>
      <c r="AE1128" s="245">
        <v>0.1</v>
      </c>
      <c r="AF1128" s="245">
        <v>211</v>
      </c>
      <c r="AG1128" s="245">
        <v>1</v>
      </c>
      <c r="AH1128" s="245">
        <v>70</v>
      </c>
      <c r="AI1128" s="245">
        <v>56</v>
      </c>
      <c r="AJ1128" s="245">
        <v>120</v>
      </c>
      <c r="AK1128" s="245" t="s">
        <v>944</v>
      </c>
      <c r="AL1128" s="245">
        <v>4.3</v>
      </c>
      <c r="AM1128" s="246" t="s">
        <v>931</v>
      </c>
      <c r="AN1128" s="235">
        <v>466</v>
      </c>
      <c r="AO1128" s="247" t="s">
        <v>2314</v>
      </c>
      <c r="AP1128" s="247">
        <v>840</v>
      </c>
      <c r="AQ1128" s="247" t="s">
        <v>958</v>
      </c>
      <c r="AR1128" s="247" t="s">
        <v>931</v>
      </c>
      <c r="AS1128" s="247">
        <v>25.3</v>
      </c>
      <c r="AT1128" s="247">
        <v>36</v>
      </c>
      <c r="AU1128" s="247" t="s">
        <v>934</v>
      </c>
      <c r="AV1128" s="247">
        <v>64</v>
      </c>
      <c r="AW1128" s="247">
        <v>44</v>
      </c>
      <c r="AX1128" s="247">
        <v>272</v>
      </c>
      <c r="AY1128" s="247">
        <v>54</v>
      </c>
      <c r="AZ1128" s="247" t="s">
        <v>1038</v>
      </c>
      <c r="BA1128" s="248">
        <v>0</v>
      </c>
      <c r="BB1128" s="235"/>
      <c r="BC1128" s="247" t="s">
        <v>2313</v>
      </c>
      <c r="BD1128" s="247"/>
      <c r="BE1128" s="247"/>
      <c r="BF1128" s="247"/>
      <c r="BG1128" s="247"/>
      <c r="BH1128" s="247"/>
      <c r="BI1128" s="247"/>
      <c r="BJ1128" s="247"/>
      <c r="BK1128" s="247"/>
      <c r="BL1128" s="247"/>
      <c r="BM1128" s="247"/>
      <c r="BN1128" s="247"/>
      <c r="BO1128" s="247"/>
      <c r="BP1128" s="248"/>
    </row>
    <row r="1129" spans="1:68" ht="14.25" customHeight="1">
      <c r="A1129" s="233">
        <v>472</v>
      </c>
      <c r="B1129" s="234">
        <v>29</v>
      </c>
      <c r="C1129" s="244" t="s">
        <v>928</v>
      </c>
      <c r="D1129" s="244" t="s">
        <v>1046</v>
      </c>
      <c r="E1129" s="244" t="s">
        <v>226</v>
      </c>
      <c r="F1129" s="245">
        <v>-29.1</v>
      </c>
      <c r="G1129" s="245">
        <v>-23.4</v>
      </c>
      <c r="H1129" s="245">
        <v>-14.1</v>
      </c>
      <c r="I1129" s="245">
        <v>-1.8</v>
      </c>
      <c r="J1129" s="245">
        <v>7.2</v>
      </c>
      <c r="K1129" s="245">
        <v>14.5</v>
      </c>
      <c r="L1129" s="245">
        <v>18</v>
      </c>
      <c r="M1129" s="245">
        <v>15</v>
      </c>
      <c r="N1129" s="245">
        <v>7.7</v>
      </c>
      <c r="O1129" s="245">
        <v>-3.8</v>
      </c>
      <c r="P1129" s="245">
        <v>-18.399999999999999</v>
      </c>
      <c r="Q1129" s="245">
        <v>-27.7</v>
      </c>
      <c r="R1129" s="246">
        <v>-4.7</v>
      </c>
      <c r="S1129" s="233">
        <v>29</v>
      </c>
      <c r="T1129" s="247" t="s">
        <v>2315</v>
      </c>
      <c r="U1129" s="245">
        <v>-46</v>
      </c>
      <c r="V1129" s="245">
        <v>-44</v>
      </c>
      <c r="W1129" s="245">
        <v>-43</v>
      </c>
      <c r="X1129" s="245">
        <v>-40</v>
      </c>
      <c r="Y1129" s="245">
        <v>-34</v>
      </c>
      <c r="Z1129" s="245">
        <v>-52</v>
      </c>
      <c r="AA1129" s="245">
        <v>15.1</v>
      </c>
      <c r="AB1129" s="245">
        <v>198</v>
      </c>
      <c r="AC1129" s="245">
        <v>-17.8</v>
      </c>
      <c r="AD1129" s="245">
        <v>247</v>
      </c>
      <c r="AE1129" s="245">
        <v>-13.4</v>
      </c>
      <c r="AF1129" s="245">
        <v>264</v>
      </c>
      <c r="AG1129" s="245">
        <v>-12</v>
      </c>
      <c r="AH1129" s="245">
        <v>74</v>
      </c>
      <c r="AI1129" s="245">
        <v>66</v>
      </c>
      <c r="AJ1129" s="245">
        <v>40</v>
      </c>
      <c r="AK1129" s="245" t="s">
        <v>944</v>
      </c>
      <c r="AL1129" s="245">
        <v>4.7</v>
      </c>
      <c r="AM1129" s="246">
        <v>2.4</v>
      </c>
      <c r="AN1129" s="235">
        <v>29</v>
      </c>
      <c r="AO1129" s="247" t="s">
        <v>2316</v>
      </c>
      <c r="AP1129" s="247">
        <v>960</v>
      </c>
      <c r="AQ1129" s="247">
        <v>23</v>
      </c>
      <c r="AR1129" s="247">
        <v>27.1</v>
      </c>
      <c r="AS1129" s="247">
        <v>25.4</v>
      </c>
      <c r="AT1129" s="247">
        <v>36</v>
      </c>
      <c r="AU1129" s="247">
        <v>15.3</v>
      </c>
      <c r="AV1129" s="247">
        <v>76</v>
      </c>
      <c r="AW1129" s="247">
        <v>56</v>
      </c>
      <c r="AX1129" s="247">
        <v>442</v>
      </c>
      <c r="AY1129" s="247">
        <v>97</v>
      </c>
      <c r="AZ1129" s="247" t="s">
        <v>1038</v>
      </c>
      <c r="BA1129" s="248">
        <v>0</v>
      </c>
      <c r="BB1129" s="235"/>
      <c r="BC1129" s="247" t="s">
        <v>226</v>
      </c>
      <c r="BD1129" s="247"/>
      <c r="BE1129" s="247"/>
      <c r="BF1129" s="247"/>
      <c r="BG1129" s="247"/>
      <c r="BH1129" s="247"/>
      <c r="BI1129" s="247"/>
      <c r="BJ1129" s="247"/>
      <c r="BK1129" s="247"/>
      <c r="BL1129" s="247"/>
      <c r="BM1129" s="247"/>
      <c r="BN1129" s="247"/>
      <c r="BO1129" s="247"/>
      <c r="BP1129" s="248"/>
    </row>
    <row r="1130" spans="1:68" ht="14.25" customHeight="1">
      <c r="A1130" s="233">
        <v>473</v>
      </c>
      <c r="B1130" s="234">
        <v>12</v>
      </c>
      <c r="C1130" s="244" t="s">
        <v>928</v>
      </c>
      <c r="D1130" s="244" t="s">
        <v>974</v>
      </c>
      <c r="E1130" s="244" t="s">
        <v>227</v>
      </c>
      <c r="F1130" s="245">
        <v>-18.899999999999999</v>
      </c>
      <c r="G1130" s="245">
        <v>-18.2</v>
      </c>
      <c r="H1130" s="245">
        <v>-10.6</v>
      </c>
      <c r="I1130" s="245">
        <v>3</v>
      </c>
      <c r="J1130" s="245">
        <v>12.5</v>
      </c>
      <c r="K1130" s="245">
        <v>18.899999999999999</v>
      </c>
      <c r="L1130" s="245">
        <v>20.8</v>
      </c>
      <c r="M1130" s="245">
        <v>17.600000000000001</v>
      </c>
      <c r="N1130" s="245">
        <v>11.8</v>
      </c>
      <c r="O1130" s="245">
        <v>3</v>
      </c>
      <c r="P1130" s="245">
        <v>-7.8</v>
      </c>
      <c r="Q1130" s="245">
        <v>-15.9</v>
      </c>
      <c r="R1130" s="246">
        <v>1.4</v>
      </c>
      <c r="S1130" s="233">
        <v>12</v>
      </c>
      <c r="T1130" s="247" t="s">
        <v>2317</v>
      </c>
      <c r="U1130" s="245">
        <v>-43</v>
      </c>
      <c r="V1130" s="245">
        <v>-40</v>
      </c>
      <c r="W1130" s="245">
        <v>-41</v>
      </c>
      <c r="X1130" s="245">
        <v>-37</v>
      </c>
      <c r="Y1130" s="245">
        <v>-24</v>
      </c>
      <c r="Z1130" s="245">
        <v>-48</v>
      </c>
      <c r="AA1130" s="245">
        <v>9.1999999999999993</v>
      </c>
      <c r="AB1130" s="245">
        <v>166</v>
      </c>
      <c r="AC1130" s="245">
        <v>-12.5</v>
      </c>
      <c r="AD1130" s="245">
        <v>215</v>
      </c>
      <c r="AE1130" s="245">
        <v>-8.6999999999999993</v>
      </c>
      <c r="AF1130" s="245">
        <v>228</v>
      </c>
      <c r="AG1130" s="245">
        <v>-7.7</v>
      </c>
      <c r="AH1130" s="245">
        <v>81</v>
      </c>
      <c r="AI1130" s="245">
        <v>80</v>
      </c>
      <c r="AJ1130" s="245">
        <v>73</v>
      </c>
      <c r="AK1130" s="245" t="s">
        <v>971</v>
      </c>
      <c r="AL1130" s="245">
        <v>6.2</v>
      </c>
      <c r="AM1130" s="246">
        <v>5.2</v>
      </c>
      <c r="AN1130" s="235">
        <v>12</v>
      </c>
      <c r="AO1130" s="247" t="s">
        <v>2318</v>
      </c>
      <c r="AP1130" s="247">
        <v>995</v>
      </c>
      <c r="AQ1130" s="247">
        <v>24.9</v>
      </c>
      <c r="AR1130" s="247">
        <v>28.9</v>
      </c>
      <c r="AS1130" s="247">
        <v>27.3</v>
      </c>
      <c r="AT1130" s="247">
        <v>40</v>
      </c>
      <c r="AU1130" s="247">
        <v>12.9</v>
      </c>
      <c r="AV1130" s="247">
        <v>62</v>
      </c>
      <c r="AW1130" s="247">
        <v>45</v>
      </c>
      <c r="AX1130" s="247">
        <v>225</v>
      </c>
      <c r="AY1130" s="247">
        <v>70</v>
      </c>
      <c r="AZ1130" s="247" t="s">
        <v>959</v>
      </c>
      <c r="BA1130" s="248">
        <v>4.2</v>
      </c>
      <c r="BB1130" s="235">
        <v>8</v>
      </c>
      <c r="BC1130" s="247" t="s">
        <v>227</v>
      </c>
      <c r="BD1130" s="247">
        <v>1.5</v>
      </c>
      <c r="BE1130" s="247">
        <v>1.5</v>
      </c>
      <c r="BF1130" s="247">
        <v>2.7</v>
      </c>
      <c r="BG1130" s="247">
        <v>5.4</v>
      </c>
      <c r="BH1130" s="247">
        <v>7.2</v>
      </c>
      <c r="BI1130" s="247">
        <v>11.2</v>
      </c>
      <c r="BJ1130" s="247">
        <v>14.3</v>
      </c>
      <c r="BK1130" s="247">
        <v>12.4</v>
      </c>
      <c r="BL1130" s="247">
        <v>8.5</v>
      </c>
      <c r="BM1130" s="247">
        <v>5.5</v>
      </c>
      <c r="BN1130" s="247">
        <v>3.2</v>
      </c>
      <c r="BO1130" s="247">
        <v>2</v>
      </c>
      <c r="BP1130" s="248">
        <v>6.3</v>
      </c>
    </row>
    <row r="1131" spans="1:68" ht="14.25" customHeight="1">
      <c r="A1131" s="233">
        <v>474</v>
      </c>
      <c r="B1131" s="234">
        <v>104</v>
      </c>
      <c r="C1131" s="244" t="s">
        <v>928</v>
      </c>
      <c r="D1131" s="244" t="s">
        <v>1001</v>
      </c>
      <c r="E1131" s="244" t="s">
        <v>2319</v>
      </c>
      <c r="F1131" s="245">
        <v>-17.399999999999999</v>
      </c>
      <c r="G1131" s="245">
        <v>-17</v>
      </c>
      <c r="H1131" s="245">
        <v>-9.9</v>
      </c>
      <c r="I1131" s="245">
        <v>-0.3</v>
      </c>
      <c r="J1131" s="245">
        <v>6</v>
      </c>
      <c r="K1131" s="245">
        <v>11.8</v>
      </c>
      <c r="L1131" s="245">
        <v>15.3</v>
      </c>
      <c r="M1131" s="245">
        <v>14.2</v>
      </c>
      <c r="N1131" s="245">
        <v>7.8</v>
      </c>
      <c r="O1131" s="245">
        <v>-1.7</v>
      </c>
      <c r="P1131" s="245">
        <v>-7.3</v>
      </c>
      <c r="Q1131" s="245">
        <v>-13.5</v>
      </c>
      <c r="R1131" s="246">
        <v>-0.7</v>
      </c>
      <c r="S1131" s="233">
        <v>104</v>
      </c>
      <c r="T1131" s="247" t="s">
        <v>2320</v>
      </c>
      <c r="U1131" s="245">
        <v>-32</v>
      </c>
      <c r="V1131" s="245">
        <v>-31</v>
      </c>
      <c r="W1131" s="245">
        <v>-30</v>
      </c>
      <c r="X1131" s="245">
        <v>-28</v>
      </c>
      <c r="Y1131" s="245">
        <v>-22</v>
      </c>
      <c r="Z1131" s="245">
        <v>-40</v>
      </c>
      <c r="AA1131" s="245">
        <v>8.8000000000000007</v>
      </c>
      <c r="AB1131" s="245">
        <v>177</v>
      </c>
      <c r="AC1131" s="245">
        <v>-11</v>
      </c>
      <c r="AD1131" s="245">
        <v>254</v>
      </c>
      <c r="AE1131" s="245">
        <v>-6.4</v>
      </c>
      <c r="AF1131" s="245">
        <v>274</v>
      </c>
      <c r="AG1131" s="245">
        <v>-5.3</v>
      </c>
      <c r="AH1131" s="245">
        <v>76</v>
      </c>
      <c r="AI1131" s="245">
        <v>68</v>
      </c>
      <c r="AJ1131" s="245">
        <v>50</v>
      </c>
      <c r="AK1131" s="245" t="s">
        <v>971</v>
      </c>
      <c r="AL1131" s="245">
        <v>1.5</v>
      </c>
      <c r="AM1131" s="246" t="s">
        <v>931</v>
      </c>
      <c r="AN1131" s="235">
        <v>104</v>
      </c>
      <c r="AO1131" s="247" t="s">
        <v>2321</v>
      </c>
      <c r="AP1131" s="247">
        <v>960</v>
      </c>
      <c r="AQ1131" s="247">
        <v>17.399999999999999</v>
      </c>
      <c r="AR1131" s="247">
        <v>21.8</v>
      </c>
      <c r="AS1131" s="247">
        <v>19.8</v>
      </c>
      <c r="AT1131" s="247">
        <v>31</v>
      </c>
      <c r="AU1131" s="247">
        <v>8.1999999999999993</v>
      </c>
      <c r="AV1131" s="247">
        <v>78</v>
      </c>
      <c r="AW1131" s="247">
        <v>73</v>
      </c>
      <c r="AX1131" s="247">
        <v>476</v>
      </c>
      <c r="AY1131" s="247">
        <v>144</v>
      </c>
      <c r="AZ1131" s="247" t="s">
        <v>978</v>
      </c>
      <c r="BA1131" s="248">
        <v>0</v>
      </c>
      <c r="BB1131" s="235">
        <v>88</v>
      </c>
      <c r="BC1131" s="247" t="s">
        <v>2319</v>
      </c>
      <c r="BD1131" s="247">
        <v>1.4</v>
      </c>
      <c r="BE1131" s="247">
        <v>1.4</v>
      </c>
      <c r="BF1131" s="247">
        <v>2.4</v>
      </c>
      <c r="BG1131" s="247">
        <v>4.2</v>
      </c>
      <c r="BH1131" s="247">
        <v>6.2</v>
      </c>
      <c r="BI1131" s="247">
        <v>10.6</v>
      </c>
      <c r="BJ1131" s="247">
        <v>14.1</v>
      </c>
      <c r="BK1131" s="247">
        <v>13.3</v>
      </c>
      <c r="BL1131" s="247">
        <v>8.6999999999999993</v>
      </c>
      <c r="BM1131" s="247">
        <v>5.3</v>
      </c>
      <c r="BN1131" s="247">
        <v>2.6</v>
      </c>
      <c r="BO1131" s="247">
        <v>1.8</v>
      </c>
      <c r="BP1131" s="248">
        <v>6</v>
      </c>
    </row>
    <row r="1132" spans="1:68" ht="14.25" customHeight="1">
      <c r="A1132" s="233">
        <v>475</v>
      </c>
      <c r="B1132" s="234">
        <v>304</v>
      </c>
      <c r="C1132" s="244" t="s">
        <v>928</v>
      </c>
      <c r="D1132" s="244" t="s">
        <v>1341</v>
      </c>
      <c r="E1132" s="244" t="s">
        <v>2322</v>
      </c>
      <c r="F1132" s="245">
        <v>-9.4</v>
      </c>
      <c r="G1132" s="245">
        <v>-8.4</v>
      </c>
      <c r="H1132" s="245">
        <v>-4</v>
      </c>
      <c r="I1132" s="245">
        <v>4.4000000000000004</v>
      </c>
      <c r="J1132" s="245">
        <v>11.6</v>
      </c>
      <c r="K1132" s="245">
        <v>15.7</v>
      </c>
      <c r="L1132" s="245">
        <v>17.100000000000001</v>
      </c>
      <c r="M1132" s="245">
        <v>15.9</v>
      </c>
      <c r="N1132" s="245">
        <v>10.4</v>
      </c>
      <c r="O1132" s="245">
        <v>4.5</v>
      </c>
      <c r="P1132" s="245">
        <v>-1</v>
      </c>
      <c r="Q1132" s="245">
        <v>-5.8</v>
      </c>
      <c r="R1132" s="246">
        <v>4.3</v>
      </c>
      <c r="S1132" s="233">
        <v>304</v>
      </c>
      <c r="T1132" s="247" t="s">
        <v>2323</v>
      </c>
      <c r="U1132" s="245">
        <v>-34</v>
      </c>
      <c r="V1132" s="245">
        <v>-31</v>
      </c>
      <c r="W1132" s="245">
        <v>-28</v>
      </c>
      <c r="X1132" s="245">
        <v>-26</v>
      </c>
      <c r="Y1132" s="245">
        <v>-14</v>
      </c>
      <c r="Z1132" s="245">
        <v>-41</v>
      </c>
      <c r="AA1132" s="245">
        <v>6.1</v>
      </c>
      <c r="AB1132" s="245">
        <v>141</v>
      </c>
      <c r="AC1132" s="245">
        <v>-5.8</v>
      </c>
      <c r="AD1132" s="245">
        <v>215</v>
      </c>
      <c r="AE1132" s="245">
        <v>-2.4</v>
      </c>
      <c r="AF1132" s="245">
        <v>234</v>
      </c>
      <c r="AG1132" s="245">
        <v>-1.5</v>
      </c>
      <c r="AH1132" s="245">
        <v>86</v>
      </c>
      <c r="AI1132" s="245">
        <v>81</v>
      </c>
      <c r="AJ1132" s="245">
        <v>234</v>
      </c>
      <c r="AK1132" s="245" t="s">
        <v>963</v>
      </c>
      <c r="AL1132" s="245">
        <v>6.8</v>
      </c>
      <c r="AM1132" s="246">
        <v>5</v>
      </c>
      <c r="AN1132" s="235">
        <v>304</v>
      </c>
      <c r="AO1132" s="247" t="s">
        <v>2324</v>
      </c>
      <c r="AP1132" s="247">
        <v>985</v>
      </c>
      <c r="AQ1132" s="247">
        <v>20.8</v>
      </c>
      <c r="AR1132" s="247">
        <v>24.3</v>
      </c>
      <c r="AS1132" s="247">
        <v>22.3</v>
      </c>
      <c r="AT1132" s="247">
        <v>35</v>
      </c>
      <c r="AU1132" s="247">
        <v>10.199999999999999</v>
      </c>
      <c r="AV1132" s="247">
        <v>77</v>
      </c>
      <c r="AW1132" s="247">
        <v>62</v>
      </c>
      <c r="AX1132" s="247">
        <v>457</v>
      </c>
      <c r="AY1132" s="247">
        <v>67</v>
      </c>
      <c r="AZ1132" s="247" t="s">
        <v>959</v>
      </c>
      <c r="BA1132" s="248">
        <v>3.2</v>
      </c>
      <c r="BB1132" s="235">
        <v>274</v>
      </c>
      <c r="BC1132" s="247" t="s">
        <v>2322</v>
      </c>
      <c r="BD1132" s="247">
        <v>3</v>
      </c>
      <c r="BE1132" s="247">
        <v>3.1</v>
      </c>
      <c r="BF1132" s="247">
        <v>4.0999999999999996</v>
      </c>
      <c r="BG1132" s="247">
        <v>6.5</v>
      </c>
      <c r="BH1132" s="247">
        <v>9.6999999999999993</v>
      </c>
      <c r="BI1132" s="247">
        <v>12.9</v>
      </c>
      <c r="BJ1132" s="247">
        <v>14.9</v>
      </c>
      <c r="BK1132" s="247">
        <v>14.2</v>
      </c>
      <c r="BL1132" s="247">
        <v>10.7</v>
      </c>
      <c r="BM1132" s="247">
        <v>7.5</v>
      </c>
      <c r="BN1132" s="247">
        <v>5.5</v>
      </c>
      <c r="BO1132" s="247">
        <v>4</v>
      </c>
      <c r="BP1132" s="248">
        <v>8</v>
      </c>
    </row>
    <row r="1133" spans="1:68" ht="14.25" customHeight="1">
      <c r="A1133" s="233">
        <v>476</v>
      </c>
      <c r="B1133" s="234">
        <v>124</v>
      </c>
      <c r="C1133" s="244" t="s">
        <v>928</v>
      </c>
      <c r="D1133" s="244" t="s">
        <v>1023</v>
      </c>
      <c r="E1133" s="244" t="s">
        <v>2325</v>
      </c>
      <c r="F1133" s="245">
        <v>-14</v>
      </c>
      <c r="G1133" s="245">
        <v>-14.1</v>
      </c>
      <c r="H1133" s="245">
        <v>-10</v>
      </c>
      <c r="I1133" s="245">
        <v>-3.3</v>
      </c>
      <c r="J1133" s="245">
        <v>2.6</v>
      </c>
      <c r="K1133" s="245">
        <v>7.4</v>
      </c>
      <c r="L1133" s="245">
        <v>11.2</v>
      </c>
      <c r="M1133" s="245">
        <v>11.9</v>
      </c>
      <c r="N1133" s="245">
        <v>8.5</v>
      </c>
      <c r="O1133" s="245">
        <v>2.7</v>
      </c>
      <c r="P1133" s="245">
        <v>-5.6</v>
      </c>
      <c r="Q1133" s="245">
        <v>-10.9</v>
      </c>
      <c r="R1133" s="246">
        <v>-1.1000000000000001</v>
      </c>
      <c r="S1133" s="233">
        <v>124</v>
      </c>
      <c r="T1133" s="247" t="s">
        <v>2326</v>
      </c>
      <c r="U1133" s="245">
        <v>-36</v>
      </c>
      <c r="V1133" s="245">
        <v>-34</v>
      </c>
      <c r="W1133" s="245">
        <v>-32</v>
      </c>
      <c r="X1133" s="245">
        <v>-30</v>
      </c>
      <c r="Y1133" s="245">
        <v>-19</v>
      </c>
      <c r="Z1133" s="245">
        <v>-45</v>
      </c>
      <c r="AA1133" s="245">
        <v>13.5</v>
      </c>
      <c r="AB1133" s="245">
        <v>189</v>
      </c>
      <c r="AC1133" s="245">
        <v>-9</v>
      </c>
      <c r="AD1133" s="245">
        <v>275</v>
      </c>
      <c r="AE1133" s="245">
        <v>-4.8</v>
      </c>
      <c r="AF1133" s="245">
        <v>307</v>
      </c>
      <c r="AG1133" s="245">
        <v>-3.4</v>
      </c>
      <c r="AH1133" s="245">
        <v>80</v>
      </c>
      <c r="AI1133" s="245">
        <v>71</v>
      </c>
      <c r="AJ1133" s="245">
        <v>331</v>
      </c>
      <c r="AK1133" s="245" t="s">
        <v>938</v>
      </c>
      <c r="AL1133" s="245">
        <v>3.8</v>
      </c>
      <c r="AM1133" s="246" t="s">
        <v>931</v>
      </c>
      <c r="AN1133" s="235">
        <v>124</v>
      </c>
      <c r="AO1133" s="247" t="s">
        <v>2327</v>
      </c>
      <c r="AP1133" s="247">
        <v>1010</v>
      </c>
      <c r="AQ1133" s="247">
        <v>13.9</v>
      </c>
      <c r="AR1133" s="247">
        <v>18.5</v>
      </c>
      <c r="AS1133" s="247">
        <v>16.3</v>
      </c>
      <c r="AT1133" s="247">
        <v>29</v>
      </c>
      <c r="AU1133" s="247">
        <v>7.8</v>
      </c>
      <c r="AV1133" s="247">
        <v>91</v>
      </c>
      <c r="AW1133" s="247">
        <v>81</v>
      </c>
      <c r="AX1133" s="247">
        <v>693</v>
      </c>
      <c r="AY1133" s="247">
        <v>92</v>
      </c>
      <c r="AZ1133" s="247" t="s">
        <v>973</v>
      </c>
      <c r="BA1133" s="248" t="s">
        <v>934</v>
      </c>
      <c r="BB1133" s="235">
        <v>108</v>
      </c>
      <c r="BC1133" s="247" t="s">
        <v>2325</v>
      </c>
      <c r="BD1133" s="247">
        <v>1.9</v>
      </c>
      <c r="BE1133" s="247">
        <v>1.9</v>
      </c>
      <c r="BF1133" s="247">
        <v>2.5</v>
      </c>
      <c r="BG1133" s="247">
        <v>4.0999999999999996</v>
      </c>
      <c r="BH1133" s="247">
        <v>6.2</v>
      </c>
      <c r="BI1133" s="247">
        <v>8.9</v>
      </c>
      <c r="BJ1133" s="247">
        <v>12</v>
      </c>
      <c r="BK1133" s="247">
        <v>12.7</v>
      </c>
      <c r="BL1133" s="247">
        <v>9.8000000000000007</v>
      </c>
      <c r="BM1133" s="247">
        <v>6.4</v>
      </c>
      <c r="BN1133" s="247">
        <v>3.7</v>
      </c>
      <c r="BO1133" s="247">
        <v>2.5</v>
      </c>
      <c r="BP1133" s="248">
        <v>6.1</v>
      </c>
    </row>
    <row r="1134" spans="1:68" ht="14.25" customHeight="1">
      <c r="A1134" s="233">
        <v>477</v>
      </c>
      <c r="B1134" s="234">
        <v>363</v>
      </c>
      <c r="C1134" s="244" t="s">
        <v>928</v>
      </c>
      <c r="D1134" s="244" t="s">
        <v>1081</v>
      </c>
      <c r="E1134" s="244" t="s">
        <v>2328</v>
      </c>
      <c r="F1134" s="245">
        <v>-18</v>
      </c>
      <c r="G1134" s="245">
        <v>-14.7</v>
      </c>
      <c r="H1134" s="245">
        <v>-8</v>
      </c>
      <c r="I1134" s="245">
        <v>0.2</v>
      </c>
      <c r="J1134" s="245">
        <v>5.0999999999999996</v>
      </c>
      <c r="K1134" s="245">
        <v>9.9</v>
      </c>
      <c r="L1134" s="245">
        <v>14.3</v>
      </c>
      <c r="M1134" s="245">
        <v>16.399999999999999</v>
      </c>
      <c r="N1134" s="245">
        <v>12.6</v>
      </c>
      <c r="O1134" s="245">
        <v>4.8</v>
      </c>
      <c r="P1134" s="245">
        <v>-5.4</v>
      </c>
      <c r="Q1134" s="245">
        <v>-13.8</v>
      </c>
      <c r="R1134" s="246">
        <v>0.3</v>
      </c>
      <c r="S1134" s="233">
        <v>363</v>
      </c>
      <c r="T1134" s="247" t="s">
        <v>2329</v>
      </c>
      <c r="U1134" s="245">
        <v>-32</v>
      </c>
      <c r="V1134" s="245">
        <v>-30</v>
      </c>
      <c r="W1134" s="245">
        <v>-29</v>
      </c>
      <c r="X1134" s="245">
        <v>-27</v>
      </c>
      <c r="Y1134" s="245">
        <v>-23</v>
      </c>
      <c r="Z1134" s="245">
        <v>-40</v>
      </c>
      <c r="AA1134" s="245">
        <v>11.3</v>
      </c>
      <c r="AB1134" s="245">
        <v>166</v>
      </c>
      <c r="AC1134" s="245">
        <v>-10.6</v>
      </c>
      <c r="AD1134" s="245">
        <v>243</v>
      </c>
      <c r="AE1134" s="245">
        <v>-6</v>
      </c>
      <c r="AF1134" s="245">
        <v>264</v>
      </c>
      <c r="AG1134" s="245">
        <v>-4.8</v>
      </c>
      <c r="AH1134" s="245">
        <v>70</v>
      </c>
      <c r="AI1134" s="245">
        <v>58</v>
      </c>
      <c r="AJ1134" s="245">
        <v>208</v>
      </c>
      <c r="AK1134" s="245" t="s">
        <v>971</v>
      </c>
      <c r="AL1134" s="245" t="s">
        <v>931</v>
      </c>
      <c r="AM1134" s="246" t="s">
        <v>931</v>
      </c>
      <c r="AN1134" s="235">
        <v>363</v>
      </c>
      <c r="AO1134" s="247" t="s">
        <v>2330</v>
      </c>
      <c r="AP1134" s="247">
        <v>1010</v>
      </c>
      <c r="AQ1134" s="247">
        <v>19.2</v>
      </c>
      <c r="AR1134" s="247">
        <v>23.5</v>
      </c>
      <c r="AS1134" s="247">
        <v>21.6</v>
      </c>
      <c r="AT1134" s="247">
        <v>39</v>
      </c>
      <c r="AU1134" s="247">
        <v>9.1999999999999993</v>
      </c>
      <c r="AV1134" s="247">
        <v>86</v>
      </c>
      <c r="AW1134" s="247">
        <v>71</v>
      </c>
      <c r="AX1134" s="247">
        <v>641</v>
      </c>
      <c r="AY1134" s="247">
        <v>140</v>
      </c>
      <c r="AZ1134" s="247" t="s">
        <v>940</v>
      </c>
      <c r="BA1134" s="248" t="s">
        <v>934</v>
      </c>
      <c r="BB1134" s="235">
        <v>328</v>
      </c>
      <c r="BC1134" s="247" t="s">
        <v>2328</v>
      </c>
      <c r="BD1134" s="247">
        <v>1.1000000000000001</v>
      </c>
      <c r="BE1134" s="247">
        <v>1.6</v>
      </c>
      <c r="BF1134" s="247">
        <v>2.6</v>
      </c>
      <c r="BG1134" s="247">
        <v>4.7</v>
      </c>
      <c r="BH1134" s="247">
        <v>7</v>
      </c>
      <c r="BI1134" s="247">
        <v>10.3</v>
      </c>
      <c r="BJ1134" s="247">
        <v>14.2</v>
      </c>
      <c r="BK1134" s="247">
        <v>16</v>
      </c>
      <c r="BL1134" s="247">
        <v>11.9</v>
      </c>
      <c r="BM1134" s="247">
        <v>6.3</v>
      </c>
      <c r="BN1134" s="247">
        <v>2.9</v>
      </c>
      <c r="BO1134" s="247">
        <v>1.6</v>
      </c>
      <c r="BP1134" s="248">
        <v>6.7</v>
      </c>
    </row>
    <row r="1135" spans="1:68" ht="14.25" customHeight="1">
      <c r="A1135" s="233">
        <v>478</v>
      </c>
      <c r="B1135" s="234">
        <v>247</v>
      </c>
      <c r="C1135" s="244" t="s">
        <v>928</v>
      </c>
      <c r="D1135" s="244" t="s">
        <v>1818</v>
      </c>
      <c r="E1135" s="244" t="s">
        <v>2331</v>
      </c>
      <c r="F1135" s="245">
        <v>-14.4</v>
      </c>
      <c r="G1135" s="245">
        <v>-13.5</v>
      </c>
      <c r="H1135" s="245">
        <v>-6.6</v>
      </c>
      <c r="I1135" s="245">
        <v>5.8</v>
      </c>
      <c r="J1135" s="245">
        <v>14.6</v>
      </c>
      <c r="K1135" s="245">
        <v>19.2</v>
      </c>
      <c r="L1135" s="245">
        <v>21</v>
      </c>
      <c r="M1135" s="245">
        <v>19.600000000000001</v>
      </c>
      <c r="N1135" s="245">
        <v>13.1</v>
      </c>
      <c r="O1135" s="245">
        <v>4.0999999999999996</v>
      </c>
      <c r="P1135" s="245">
        <v>-3.8</v>
      </c>
      <c r="Q1135" s="245">
        <v>-10.4</v>
      </c>
      <c r="R1135" s="246">
        <v>4.0999999999999996</v>
      </c>
      <c r="S1135" s="233">
        <v>247</v>
      </c>
      <c r="T1135" s="247" t="s">
        <v>2332</v>
      </c>
      <c r="U1135" s="245">
        <v>-36</v>
      </c>
      <c r="V1135" s="245">
        <v>-34</v>
      </c>
      <c r="W1135" s="245">
        <v>-33</v>
      </c>
      <c r="X1135" s="245">
        <v>-29</v>
      </c>
      <c r="Y1135" s="245">
        <v>-20</v>
      </c>
      <c r="Z1135" s="245">
        <v>-43</v>
      </c>
      <c r="AA1135" s="245">
        <v>8.1</v>
      </c>
      <c r="AB1135" s="245">
        <v>153</v>
      </c>
      <c r="AC1135" s="245">
        <v>-9.6</v>
      </c>
      <c r="AD1135" s="245">
        <v>201</v>
      </c>
      <c r="AE1135" s="245">
        <v>-6.3</v>
      </c>
      <c r="AF1135" s="245">
        <v>215</v>
      </c>
      <c r="AG1135" s="245">
        <v>-5.3</v>
      </c>
      <c r="AH1135" s="245">
        <v>81</v>
      </c>
      <c r="AI1135" s="245">
        <v>79</v>
      </c>
      <c r="AJ1135" s="245">
        <v>116</v>
      </c>
      <c r="AK1135" s="245" t="s">
        <v>990</v>
      </c>
      <c r="AL1135" s="245">
        <v>7.6</v>
      </c>
      <c r="AM1135" s="246">
        <v>4.0999999999999996</v>
      </c>
      <c r="AN1135" s="235">
        <v>247</v>
      </c>
      <c r="AO1135" s="247" t="s">
        <v>2333</v>
      </c>
      <c r="AP1135" s="247">
        <v>1000</v>
      </c>
      <c r="AQ1135" s="247">
        <v>27</v>
      </c>
      <c r="AR1135" s="247">
        <v>32</v>
      </c>
      <c r="AS1135" s="247">
        <v>27.9</v>
      </c>
      <c r="AT1135" s="247">
        <v>41</v>
      </c>
      <c r="AU1135" s="247">
        <v>13.3</v>
      </c>
      <c r="AV1135" s="247">
        <v>59</v>
      </c>
      <c r="AW1135" s="247">
        <v>41</v>
      </c>
      <c r="AX1135" s="247">
        <v>250</v>
      </c>
      <c r="AY1135" s="247" t="s">
        <v>965</v>
      </c>
      <c r="AZ1135" s="247" t="s">
        <v>959</v>
      </c>
      <c r="BA1135" s="248">
        <v>0</v>
      </c>
      <c r="BB1135" s="235">
        <v>218</v>
      </c>
      <c r="BC1135" s="247" t="s">
        <v>2331</v>
      </c>
      <c r="BD1135" s="247">
        <v>2</v>
      </c>
      <c r="BE1135" s="247">
        <v>2.1</v>
      </c>
      <c r="BF1135" s="247">
        <v>3.5</v>
      </c>
      <c r="BG1135" s="247">
        <v>6.3</v>
      </c>
      <c r="BH1135" s="247">
        <v>8.6</v>
      </c>
      <c r="BI1135" s="247">
        <v>12</v>
      </c>
      <c r="BJ1135" s="247">
        <v>14.2</v>
      </c>
      <c r="BK1135" s="247">
        <v>12.2</v>
      </c>
      <c r="BL1135" s="247">
        <v>9</v>
      </c>
      <c r="BM1135" s="247">
        <v>6.2</v>
      </c>
      <c r="BN1135" s="247">
        <v>4.4000000000000004</v>
      </c>
      <c r="BO1135" s="247">
        <v>2.8</v>
      </c>
      <c r="BP1135" s="248">
        <v>6.9</v>
      </c>
    </row>
    <row r="1136" spans="1:68" ht="14.25" customHeight="1">
      <c r="A1136" s="233">
        <v>479</v>
      </c>
      <c r="B1136" s="234">
        <v>138</v>
      </c>
      <c r="C1136" s="244" t="s">
        <v>928</v>
      </c>
      <c r="D1136" s="244" t="s">
        <v>1680</v>
      </c>
      <c r="E1136" s="244" t="s">
        <v>2334</v>
      </c>
      <c r="F1136" s="245">
        <v>-9</v>
      </c>
      <c r="G1136" s="245">
        <v>-9.6</v>
      </c>
      <c r="H1136" s="245">
        <v>-5.5</v>
      </c>
      <c r="I1136" s="245">
        <v>1.4</v>
      </c>
      <c r="J1136" s="245" t="s">
        <v>2335</v>
      </c>
      <c r="K1136" s="245">
        <v>13.7</v>
      </c>
      <c r="L1136" s="245">
        <v>16.7</v>
      </c>
      <c r="M1136" s="245">
        <v>14.8</v>
      </c>
      <c r="N1136" s="245">
        <v>9.4</v>
      </c>
      <c r="O1136" s="245">
        <v>3.8</v>
      </c>
      <c r="P1136" s="245">
        <v>-1.3</v>
      </c>
      <c r="Q1136" s="245">
        <v>-6.1</v>
      </c>
      <c r="R1136" s="246">
        <v>3</v>
      </c>
      <c r="S1136" s="233">
        <v>138</v>
      </c>
      <c r="T1136" s="247" t="s">
        <v>2336</v>
      </c>
      <c r="U1136" s="245">
        <v>-36</v>
      </c>
      <c r="V1136" s="245">
        <v>-33</v>
      </c>
      <c r="W1136" s="245">
        <v>-31</v>
      </c>
      <c r="X1136" s="245">
        <v>-29</v>
      </c>
      <c r="Y1136" s="245">
        <v>-15</v>
      </c>
      <c r="Z1136" s="245">
        <v>-41</v>
      </c>
      <c r="AA1136" s="245">
        <v>7.1</v>
      </c>
      <c r="AB1136" s="245">
        <v>155</v>
      </c>
      <c r="AC1136" s="245">
        <v>-6.1</v>
      </c>
      <c r="AD1136" s="245">
        <v>237</v>
      </c>
      <c r="AE1136" s="245">
        <v>-2.6</v>
      </c>
      <c r="AF1136" s="245">
        <v>257</v>
      </c>
      <c r="AG1136" s="245">
        <v>-1.7</v>
      </c>
      <c r="AH1136" s="245">
        <v>85</v>
      </c>
      <c r="AI1136" s="245">
        <v>84</v>
      </c>
      <c r="AJ1136" s="245">
        <v>211</v>
      </c>
      <c r="AK1136" s="245" t="s">
        <v>963</v>
      </c>
      <c r="AL1136" s="245" t="s">
        <v>931</v>
      </c>
      <c r="AM1136" s="246">
        <v>3.3</v>
      </c>
      <c r="AN1136" s="235">
        <v>138</v>
      </c>
      <c r="AO1136" s="247" t="s">
        <v>2337</v>
      </c>
      <c r="AP1136" s="247">
        <v>1010</v>
      </c>
      <c r="AQ1136" s="247">
        <v>19</v>
      </c>
      <c r="AR1136" s="247">
        <v>24</v>
      </c>
      <c r="AS1136" s="247">
        <v>21.7</v>
      </c>
      <c r="AT1136" s="247">
        <v>34</v>
      </c>
      <c r="AU1136" s="247">
        <v>9.9</v>
      </c>
      <c r="AV1136" s="247">
        <v>73</v>
      </c>
      <c r="AW1136" s="247">
        <v>59</v>
      </c>
      <c r="AX1136" s="247">
        <v>382</v>
      </c>
      <c r="AY1136" s="247">
        <v>49</v>
      </c>
      <c r="AZ1136" s="247" t="s">
        <v>973</v>
      </c>
      <c r="BA1136" s="248" t="s">
        <v>934</v>
      </c>
      <c r="BB1136" s="235">
        <v>121</v>
      </c>
      <c r="BC1136" s="247" t="s">
        <v>2334</v>
      </c>
      <c r="BD1136" s="247">
        <v>3</v>
      </c>
      <c r="BE1136" s="247">
        <v>2.8</v>
      </c>
      <c r="BF1136" s="247">
        <v>3.5</v>
      </c>
      <c r="BG1136" s="247">
        <v>5.0999999999999996</v>
      </c>
      <c r="BH1136" s="247">
        <v>7.2</v>
      </c>
      <c r="BI1136" s="247">
        <v>10.8</v>
      </c>
      <c r="BJ1136" s="247">
        <v>13.5</v>
      </c>
      <c r="BK1136" s="247">
        <v>13.4</v>
      </c>
      <c r="BL1136" s="247">
        <v>10.199999999999999</v>
      </c>
      <c r="BM1136" s="247">
        <v>7.1</v>
      </c>
      <c r="BN1136" s="247">
        <v>5.2</v>
      </c>
      <c r="BO1136" s="247">
        <v>3.9</v>
      </c>
      <c r="BP1136" s="248">
        <v>7.1</v>
      </c>
    </row>
    <row r="1137" spans="1:68" ht="14.25" customHeight="1">
      <c r="A1137" s="233">
        <v>480</v>
      </c>
      <c r="B1137" s="234">
        <v>60</v>
      </c>
      <c r="C1137" s="244" t="s">
        <v>928</v>
      </c>
      <c r="D1137" s="244" t="s">
        <v>1089</v>
      </c>
      <c r="E1137" s="244" t="s">
        <v>2338</v>
      </c>
      <c r="F1137" s="245">
        <v>-24.7</v>
      </c>
      <c r="G1137" s="245">
        <v>-21.8</v>
      </c>
      <c r="H1137" s="245">
        <v>-13.2</v>
      </c>
      <c r="I1137" s="245">
        <v>-2.9</v>
      </c>
      <c r="J1137" s="245">
        <v>4.7</v>
      </c>
      <c r="K1137" s="245">
        <v>13.5</v>
      </c>
      <c r="L1137" s="245">
        <v>16.399999999999999</v>
      </c>
      <c r="M1137" s="245">
        <v>13.6</v>
      </c>
      <c r="N1137" s="245">
        <v>6.4</v>
      </c>
      <c r="O1137" s="245">
        <v>-2.6</v>
      </c>
      <c r="P1137" s="245">
        <v>-14.2</v>
      </c>
      <c r="Q1137" s="245">
        <v>-21.7</v>
      </c>
      <c r="R1137" s="246">
        <v>-3.9</v>
      </c>
      <c r="S1137" s="233">
        <v>60</v>
      </c>
      <c r="T1137" s="247" t="s">
        <v>2339</v>
      </c>
      <c r="U1137" s="245">
        <v>-42</v>
      </c>
      <c r="V1137" s="245">
        <v>-40</v>
      </c>
      <c r="W1137" s="245">
        <v>-41</v>
      </c>
      <c r="X1137" s="245">
        <v>-38</v>
      </c>
      <c r="Y1137" s="245">
        <v>-30</v>
      </c>
      <c r="Z1137" s="245">
        <v>-48</v>
      </c>
      <c r="AA1137" s="245">
        <v>11.4</v>
      </c>
      <c r="AB1137" s="245">
        <v>202</v>
      </c>
      <c r="AC1137" s="245">
        <v>-14.8</v>
      </c>
      <c r="AD1137" s="245">
        <v>261</v>
      </c>
      <c r="AE1137" s="245">
        <v>-10.6</v>
      </c>
      <c r="AF1137" s="245">
        <v>276</v>
      </c>
      <c r="AG1137" s="245">
        <v>-9.5</v>
      </c>
      <c r="AH1137" s="245">
        <v>75</v>
      </c>
      <c r="AI1137" s="245">
        <v>73</v>
      </c>
      <c r="AJ1137" s="245">
        <v>23</v>
      </c>
      <c r="AK1137" s="245" t="s">
        <v>971</v>
      </c>
      <c r="AL1137" s="245" t="s">
        <v>931</v>
      </c>
      <c r="AM1137" s="246">
        <v>3.7</v>
      </c>
      <c r="AN1137" s="235">
        <v>60</v>
      </c>
      <c r="AO1137" s="247" t="s">
        <v>2340</v>
      </c>
      <c r="AP1137" s="247">
        <v>905</v>
      </c>
      <c r="AQ1137" s="247">
        <v>20.399999999999999</v>
      </c>
      <c r="AR1137" s="247">
        <v>24.7</v>
      </c>
      <c r="AS1137" s="247">
        <v>22.8</v>
      </c>
      <c r="AT1137" s="247">
        <v>37</v>
      </c>
      <c r="AU1137" s="247">
        <v>12.8</v>
      </c>
      <c r="AV1137" s="247">
        <v>73</v>
      </c>
      <c r="AW1137" s="247">
        <v>59</v>
      </c>
      <c r="AX1137" s="247">
        <v>302</v>
      </c>
      <c r="AY1137" s="247">
        <v>59</v>
      </c>
      <c r="AZ1137" s="247" t="s">
        <v>952</v>
      </c>
      <c r="BA1137" s="248" t="s">
        <v>934</v>
      </c>
      <c r="BB1137" s="235">
        <v>46</v>
      </c>
      <c r="BC1137" s="247" t="s">
        <v>2338</v>
      </c>
      <c r="BD1137" s="247">
        <v>0.7</v>
      </c>
      <c r="BE1137" s="247">
        <v>0.9</v>
      </c>
      <c r="BF1137" s="247">
        <v>1.6</v>
      </c>
      <c r="BG1137" s="247">
        <v>2.9</v>
      </c>
      <c r="BH1137" s="247">
        <v>4.8</v>
      </c>
      <c r="BI1137" s="247">
        <v>9.5</v>
      </c>
      <c r="BJ1137" s="247">
        <v>13.5</v>
      </c>
      <c r="BK1137" s="247">
        <v>11.7</v>
      </c>
      <c r="BL1137" s="247">
        <v>6.8</v>
      </c>
      <c r="BM1137" s="247">
        <v>3.5</v>
      </c>
      <c r="BN1137" s="247">
        <v>1.7</v>
      </c>
      <c r="BO1137" s="247">
        <v>1</v>
      </c>
      <c r="BP1137" s="248">
        <v>4.9000000000000004</v>
      </c>
    </row>
    <row r="1138" spans="1:68" ht="14.25" customHeight="1">
      <c r="A1138" s="233">
        <v>481</v>
      </c>
      <c r="B1138" s="234">
        <v>269</v>
      </c>
      <c r="C1138" s="244" t="s">
        <v>928</v>
      </c>
      <c r="D1138" s="244" t="s">
        <v>941</v>
      </c>
      <c r="E1138" s="244" t="s">
        <v>2341</v>
      </c>
      <c r="F1138" s="245">
        <v>-13.4</v>
      </c>
      <c r="G1138" s="245">
        <v>-10.9</v>
      </c>
      <c r="H1138" s="245">
        <v>-4.8</v>
      </c>
      <c r="I1138" s="245">
        <v>1.4</v>
      </c>
      <c r="J1138" s="245">
        <v>5.4</v>
      </c>
      <c r="K1138" s="245">
        <v>9.1</v>
      </c>
      <c r="L1138" s="245">
        <v>13.8</v>
      </c>
      <c r="M1138" s="245">
        <v>16.3</v>
      </c>
      <c r="N1138" s="245">
        <v>12.8</v>
      </c>
      <c r="O1138" s="245">
        <v>6.1</v>
      </c>
      <c r="P1138" s="245">
        <v>-3.3</v>
      </c>
      <c r="Q1138" s="245">
        <v>-11.2</v>
      </c>
      <c r="R1138" s="246">
        <v>1.8</v>
      </c>
      <c r="S1138" s="233">
        <v>269</v>
      </c>
      <c r="T1138" s="247" t="s">
        <v>2342</v>
      </c>
      <c r="U1138" s="245">
        <v>-26</v>
      </c>
      <c r="V1138" s="245">
        <v>-24</v>
      </c>
      <c r="W1138" s="245">
        <v>-23</v>
      </c>
      <c r="X1138" s="245">
        <v>-22</v>
      </c>
      <c r="Y1138" s="245">
        <v>-14</v>
      </c>
      <c r="Z1138" s="245">
        <v>-30</v>
      </c>
      <c r="AA1138" s="245">
        <v>9.4</v>
      </c>
      <c r="AB1138" s="245">
        <v>153</v>
      </c>
      <c r="AC1138" s="245">
        <v>-8.6999999999999993</v>
      </c>
      <c r="AD1138" s="245">
        <v>245</v>
      </c>
      <c r="AE1138" s="245">
        <v>-3.8</v>
      </c>
      <c r="AF1138" s="245">
        <v>266</v>
      </c>
      <c r="AG1138" s="245">
        <v>-2.7</v>
      </c>
      <c r="AH1138" s="245">
        <v>53</v>
      </c>
      <c r="AI1138" s="245">
        <v>47</v>
      </c>
      <c r="AJ1138" s="245">
        <v>76</v>
      </c>
      <c r="AK1138" s="245" t="s">
        <v>950</v>
      </c>
      <c r="AL1138" s="245" t="s">
        <v>931</v>
      </c>
      <c r="AM1138" s="246">
        <v>6.9</v>
      </c>
      <c r="AN1138" s="235">
        <v>269</v>
      </c>
      <c r="AO1138" s="247" t="s">
        <v>2343</v>
      </c>
      <c r="AP1138" s="247">
        <v>1010</v>
      </c>
      <c r="AQ1138" s="247">
        <v>18</v>
      </c>
      <c r="AR1138" s="247">
        <v>22</v>
      </c>
      <c r="AS1138" s="247">
        <v>19.8</v>
      </c>
      <c r="AT1138" s="247">
        <v>35</v>
      </c>
      <c r="AU1138" s="247">
        <v>6.2</v>
      </c>
      <c r="AV1138" s="247">
        <v>89</v>
      </c>
      <c r="AW1138" s="247">
        <v>79</v>
      </c>
      <c r="AX1138" s="247">
        <v>509</v>
      </c>
      <c r="AY1138" s="247">
        <v>257</v>
      </c>
      <c r="AZ1138" s="247" t="s">
        <v>973</v>
      </c>
      <c r="BA1138" s="248" t="s">
        <v>934</v>
      </c>
      <c r="BB1138" s="235">
        <v>240</v>
      </c>
      <c r="BC1138" s="247" t="s">
        <v>2341</v>
      </c>
      <c r="BD1138" s="247">
        <v>1.3</v>
      </c>
      <c r="BE1138" s="247">
        <v>1.7</v>
      </c>
      <c r="BF1138" s="247">
        <v>2.9</v>
      </c>
      <c r="BG1138" s="247">
        <v>4.8</v>
      </c>
      <c r="BH1138" s="247">
        <v>7</v>
      </c>
      <c r="BI1138" s="247">
        <v>10.4</v>
      </c>
      <c r="BJ1138" s="247">
        <v>14.6</v>
      </c>
      <c r="BK1138" s="247">
        <v>16.399999999999999</v>
      </c>
      <c r="BL1138" s="247">
        <v>12.1</v>
      </c>
      <c r="BM1138" s="247">
        <v>6.3</v>
      </c>
      <c r="BN1138" s="247">
        <v>2.9</v>
      </c>
      <c r="BO1138" s="247">
        <v>1.5</v>
      </c>
      <c r="BP1138" s="248">
        <v>6.8</v>
      </c>
    </row>
    <row r="1139" spans="1:68" ht="14.25" customHeight="1">
      <c r="A1139" s="233">
        <v>482</v>
      </c>
      <c r="B1139" s="234">
        <v>332</v>
      </c>
      <c r="C1139" s="244" t="s">
        <v>928</v>
      </c>
      <c r="D1139" s="244" t="s">
        <v>1161</v>
      </c>
      <c r="E1139" s="244" t="s">
        <v>2344</v>
      </c>
      <c r="F1139" s="245">
        <v>-22.7</v>
      </c>
      <c r="G1139" s="245">
        <v>-20.399999999999999</v>
      </c>
      <c r="H1139" s="245">
        <v>-12</v>
      </c>
      <c r="I1139" s="245">
        <v>-1.8</v>
      </c>
      <c r="J1139" s="245">
        <v>5.2</v>
      </c>
      <c r="K1139" s="245">
        <v>12.3</v>
      </c>
      <c r="L1139" s="245">
        <v>16.100000000000001</v>
      </c>
      <c r="M1139" s="245">
        <v>12.8</v>
      </c>
      <c r="N1139" s="245">
        <v>6.6</v>
      </c>
      <c r="O1139" s="245">
        <v>-2.5</v>
      </c>
      <c r="P1139" s="245">
        <v>-12.8</v>
      </c>
      <c r="Q1139" s="245">
        <v>-20.2</v>
      </c>
      <c r="R1139" s="246">
        <v>-3.3</v>
      </c>
      <c r="S1139" s="233">
        <v>332</v>
      </c>
      <c r="T1139" s="247" t="s">
        <v>2345</v>
      </c>
      <c r="U1139" s="245">
        <v>-51</v>
      </c>
      <c r="V1139" s="245">
        <v>-48</v>
      </c>
      <c r="W1139" s="245">
        <v>-49</v>
      </c>
      <c r="X1139" s="245">
        <v>-44</v>
      </c>
      <c r="Y1139" s="245">
        <v>-28</v>
      </c>
      <c r="Z1139" s="245">
        <v>-55</v>
      </c>
      <c r="AA1139" s="245">
        <v>11.3</v>
      </c>
      <c r="AB1139" s="245">
        <v>198</v>
      </c>
      <c r="AC1139" s="245">
        <v>-13.9</v>
      </c>
      <c r="AD1139" s="245">
        <v>261</v>
      </c>
      <c r="AE1139" s="245">
        <v>-9.5</v>
      </c>
      <c r="AF1139" s="245">
        <v>280</v>
      </c>
      <c r="AG1139" s="245">
        <v>-8.3000000000000007</v>
      </c>
      <c r="AH1139" s="245">
        <v>80</v>
      </c>
      <c r="AI1139" s="245">
        <v>80</v>
      </c>
      <c r="AJ1139" s="245">
        <v>127</v>
      </c>
      <c r="AK1139" s="245" t="s">
        <v>990</v>
      </c>
      <c r="AL1139" s="245" t="s">
        <v>931</v>
      </c>
      <c r="AM1139" s="246" t="s">
        <v>931</v>
      </c>
      <c r="AN1139" s="235">
        <v>332</v>
      </c>
      <c r="AO1139" s="247" t="s">
        <v>2346</v>
      </c>
      <c r="AP1139" s="247">
        <v>1005</v>
      </c>
      <c r="AQ1139" s="247">
        <v>19.899999999999999</v>
      </c>
      <c r="AR1139" s="247">
        <v>24.2</v>
      </c>
      <c r="AS1139" s="247">
        <v>22.3</v>
      </c>
      <c r="AT1139" s="247">
        <v>35</v>
      </c>
      <c r="AU1139" s="247">
        <v>12.9</v>
      </c>
      <c r="AV1139" s="247">
        <v>68</v>
      </c>
      <c r="AW1139" s="247">
        <v>53</v>
      </c>
      <c r="AX1139" s="247">
        <v>376</v>
      </c>
      <c r="AY1139" s="247" t="s">
        <v>965</v>
      </c>
      <c r="AZ1139" s="247" t="s">
        <v>940</v>
      </c>
      <c r="BA1139" s="248" t="s">
        <v>934</v>
      </c>
      <c r="BB1139" s="235">
        <v>300</v>
      </c>
      <c r="BC1139" s="247" t="s">
        <v>2344</v>
      </c>
      <c r="BD1139" s="247">
        <v>1.1000000000000001</v>
      </c>
      <c r="BE1139" s="247">
        <v>1.2</v>
      </c>
      <c r="BF1139" s="247">
        <v>2.1</v>
      </c>
      <c r="BG1139" s="247">
        <v>3.8</v>
      </c>
      <c r="BH1139" s="247">
        <v>5.5</v>
      </c>
      <c r="BI1139" s="247">
        <v>8.9</v>
      </c>
      <c r="BJ1139" s="247">
        <v>12.4</v>
      </c>
      <c r="BK1139" s="247">
        <v>11.3</v>
      </c>
      <c r="BL1139" s="247">
        <v>7.9</v>
      </c>
      <c r="BM1139" s="247">
        <v>4.4000000000000004</v>
      </c>
      <c r="BN1139" s="247">
        <v>2.4</v>
      </c>
      <c r="BO1139" s="247">
        <v>1.4</v>
      </c>
      <c r="BP1139" s="248">
        <v>5.2</v>
      </c>
    </row>
    <row r="1140" spans="1:68" ht="14.25" customHeight="1">
      <c r="A1140" s="233">
        <v>483</v>
      </c>
      <c r="B1140" s="234">
        <v>364</v>
      </c>
      <c r="C1140" s="244" t="s">
        <v>928</v>
      </c>
      <c r="D1140" s="244" t="s">
        <v>1081</v>
      </c>
      <c r="E1140" s="244" t="s">
        <v>2347</v>
      </c>
      <c r="F1140" s="245">
        <v>-33.299999999999997</v>
      </c>
      <c r="G1140" s="245">
        <v>-26.4</v>
      </c>
      <c r="H1140" s="245">
        <v>-17.100000000000001</v>
      </c>
      <c r="I1140" s="245">
        <v>-5.2</v>
      </c>
      <c r="J1140" s="245">
        <v>3.8</v>
      </c>
      <c r="K1140" s="245">
        <v>11</v>
      </c>
      <c r="L1140" s="245">
        <v>15.1</v>
      </c>
      <c r="M1140" s="245">
        <v>12.8</v>
      </c>
      <c r="N1140" s="245">
        <v>6.2</v>
      </c>
      <c r="O1140" s="245">
        <v>-5.0999999999999996</v>
      </c>
      <c r="P1140" s="245">
        <v>-20.6</v>
      </c>
      <c r="Q1140" s="245">
        <v>-30.7</v>
      </c>
      <c r="R1140" s="246">
        <v>-7.5</v>
      </c>
      <c r="S1140" s="233">
        <v>364</v>
      </c>
      <c r="T1140" s="247" t="s">
        <v>2348</v>
      </c>
      <c r="U1140" s="245">
        <v>-47</v>
      </c>
      <c r="V1140" s="245">
        <v>-45</v>
      </c>
      <c r="W1140" s="245">
        <v>-44</v>
      </c>
      <c r="X1140" s="245">
        <v>-43</v>
      </c>
      <c r="Y1140" s="245">
        <v>-37</v>
      </c>
      <c r="Z1140" s="245">
        <v>-54</v>
      </c>
      <c r="AA1140" s="245">
        <v>15</v>
      </c>
      <c r="AB1140" s="245">
        <v>212</v>
      </c>
      <c r="AC1140" s="245">
        <v>-19.2</v>
      </c>
      <c r="AD1140" s="245">
        <v>268</v>
      </c>
      <c r="AE1140" s="245">
        <v>-14.3</v>
      </c>
      <c r="AF1140" s="245">
        <v>285</v>
      </c>
      <c r="AG1140" s="245">
        <v>-12.9</v>
      </c>
      <c r="AH1140" s="245">
        <v>76</v>
      </c>
      <c r="AI1140" s="245">
        <v>70</v>
      </c>
      <c r="AJ1140" s="245">
        <v>65</v>
      </c>
      <c r="AK1140" s="245" t="s">
        <v>982</v>
      </c>
      <c r="AL1140" s="245">
        <v>2.2999999999999998</v>
      </c>
      <c r="AM1140" s="246">
        <v>1.5</v>
      </c>
      <c r="AN1140" s="235">
        <v>364</v>
      </c>
      <c r="AO1140" s="247" t="s">
        <v>2349</v>
      </c>
      <c r="AP1140" s="247">
        <v>905</v>
      </c>
      <c r="AQ1140" s="247">
        <v>20.2</v>
      </c>
      <c r="AR1140" s="247">
        <v>24.5</v>
      </c>
      <c r="AS1140" s="247">
        <v>22.6</v>
      </c>
      <c r="AT1140" s="247">
        <v>32</v>
      </c>
      <c r="AU1140" s="247">
        <v>14.3</v>
      </c>
      <c r="AV1140" s="247">
        <v>77</v>
      </c>
      <c r="AW1140" s="247">
        <v>58</v>
      </c>
      <c r="AX1140" s="247">
        <v>657</v>
      </c>
      <c r="AY1140" s="247">
        <v>89</v>
      </c>
      <c r="AZ1140" s="247" t="s">
        <v>1038</v>
      </c>
      <c r="BA1140" s="248">
        <v>0</v>
      </c>
      <c r="BB1140" s="235">
        <v>329</v>
      </c>
      <c r="BC1140" s="247" t="s">
        <v>2347</v>
      </c>
      <c r="BD1140" s="247">
        <v>0.4</v>
      </c>
      <c r="BE1140" s="247">
        <v>0.6</v>
      </c>
      <c r="BF1140" s="247">
        <v>1.2</v>
      </c>
      <c r="BG1140" s="247">
        <v>2.9</v>
      </c>
      <c r="BH1140" s="247">
        <v>5.2</v>
      </c>
      <c r="BI1140" s="247">
        <v>9.4</v>
      </c>
      <c r="BJ1140" s="247">
        <v>13.1</v>
      </c>
      <c r="BK1140" s="247">
        <v>11.9</v>
      </c>
      <c r="BL1140" s="247">
        <v>7.3</v>
      </c>
      <c r="BM1140" s="247">
        <v>3.3</v>
      </c>
      <c r="BN1140" s="247">
        <v>1.2</v>
      </c>
      <c r="BO1140" s="247">
        <v>0.5</v>
      </c>
      <c r="BP1140" s="248">
        <v>4.8</v>
      </c>
    </row>
    <row r="1141" spans="1:68" ht="14.25" customHeight="1">
      <c r="A1141" s="233">
        <v>484</v>
      </c>
      <c r="B1141" s="234">
        <v>167</v>
      </c>
      <c r="C1141" s="244" t="s">
        <v>928</v>
      </c>
      <c r="D1141" s="244" t="s">
        <v>1791</v>
      </c>
      <c r="E1141" s="244" t="s">
        <v>2350</v>
      </c>
      <c r="F1141" s="245">
        <v>5.9</v>
      </c>
      <c r="G1141" s="245">
        <v>6.1</v>
      </c>
      <c r="H1141" s="245">
        <v>8.1999999999999993</v>
      </c>
      <c r="I1141" s="245">
        <v>11.7</v>
      </c>
      <c r="J1141" s="245">
        <v>16.100000000000001</v>
      </c>
      <c r="K1141" s="245">
        <v>19.899999999999999</v>
      </c>
      <c r="L1141" s="245">
        <v>22.8</v>
      </c>
      <c r="M1141" s="245">
        <v>23.1</v>
      </c>
      <c r="N1141" s="245">
        <v>19.899999999999999</v>
      </c>
      <c r="O1141" s="245">
        <v>15.7</v>
      </c>
      <c r="P1141" s="245">
        <v>11.7</v>
      </c>
      <c r="Q1141" s="245">
        <v>8.1999999999999993</v>
      </c>
      <c r="R1141" s="246">
        <v>14.1</v>
      </c>
      <c r="S1141" s="233">
        <v>167</v>
      </c>
      <c r="T1141" s="247" t="s">
        <v>2351</v>
      </c>
      <c r="U1141" s="245">
        <v>-9</v>
      </c>
      <c r="V1141" s="245">
        <v>-6</v>
      </c>
      <c r="W1141" s="245">
        <v>-5</v>
      </c>
      <c r="X1141" s="245">
        <v>-3</v>
      </c>
      <c r="Y1141" s="245">
        <v>1</v>
      </c>
      <c r="Z1141" s="245">
        <v>-18</v>
      </c>
      <c r="AA1141" s="245">
        <v>6.5</v>
      </c>
      <c r="AB1141" s="245">
        <v>0</v>
      </c>
      <c r="AC1141" s="245" t="s">
        <v>830</v>
      </c>
      <c r="AD1141" s="245">
        <v>72</v>
      </c>
      <c r="AE1141" s="245">
        <v>6.4</v>
      </c>
      <c r="AF1141" s="245">
        <v>121</v>
      </c>
      <c r="AG1141" s="245">
        <v>7.4</v>
      </c>
      <c r="AH1141" s="245">
        <v>72</v>
      </c>
      <c r="AI1141" s="245">
        <v>66</v>
      </c>
      <c r="AJ1141" s="245">
        <v>786</v>
      </c>
      <c r="AK1141" s="245" t="s">
        <v>938</v>
      </c>
      <c r="AL1141" s="245">
        <v>6.5</v>
      </c>
      <c r="AM1141" s="246">
        <v>3.2</v>
      </c>
      <c r="AN1141" s="235">
        <v>167</v>
      </c>
      <c r="AO1141" s="247" t="s">
        <v>2352</v>
      </c>
      <c r="AP1141" s="247">
        <v>1010</v>
      </c>
      <c r="AQ1141" s="247">
        <v>24.8</v>
      </c>
      <c r="AR1141" s="247">
        <v>27.8</v>
      </c>
      <c r="AS1141" s="247">
        <v>26.6</v>
      </c>
      <c r="AT1141" s="247">
        <v>39</v>
      </c>
      <c r="AU1141" s="247">
        <v>7.5</v>
      </c>
      <c r="AV1141" s="247">
        <v>77</v>
      </c>
      <c r="AW1141" s="247">
        <v>68</v>
      </c>
      <c r="AX1141" s="247">
        <v>768</v>
      </c>
      <c r="AY1141" s="247">
        <v>245</v>
      </c>
      <c r="AZ1141" s="247" t="s">
        <v>940</v>
      </c>
      <c r="BA1141" s="248">
        <v>0</v>
      </c>
      <c r="BB1141" s="235">
        <v>146</v>
      </c>
      <c r="BC1141" s="247" t="s">
        <v>2350</v>
      </c>
      <c r="BD1141" s="247">
        <v>6.8</v>
      </c>
      <c r="BE1141" s="247">
        <v>6.9</v>
      </c>
      <c r="BF1141" s="247">
        <v>7.6</v>
      </c>
      <c r="BG1141" s="247">
        <v>10.199999999999999</v>
      </c>
      <c r="BH1141" s="247">
        <v>14.3</v>
      </c>
      <c r="BI1141" s="247">
        <v>18.3</v>
      </c>
      <c r="BJ1141" s="247">
        <v>21.8</v>
      </c>
      <c r="BK1141" s="247">
        <v>21.4</v>
      </c>
      <c r="BL1141" s="247">
        <v>17.2</v>
      </c>
      <c r="BM1141" s="247">
        <v>12.8</v>
      </c>
      <c r="BN1141" s="247">
        <v>9.9</v>
      </c>
      <c r="BO1141" s="247">
        <v>7.7</v>
      </c>
      <c r="BP1141" s="248">
        <v>12.9</v>
      </c>
    </row>
    <row r="1142" spans="1:68" ht="14.25" customHeight="1">
      <c r="A1142" s="233">
        <v>485</v>
      </c>
      <c r="B1142" s="234">
        <v>467</v>
      </c>
      <c r="C1142" s="244" t="s">
        <v>1253</v>
      </c>
      <c r="D1142" s="244" t="s">
        <v>1253</v>
      </c>
      <c r="E1142" s="244" t="s">
        <v>2353</v>
      </c>
      <c r="F1142" s="245">
        <v>-4.4000000000000004</v>
      </c>
      <c r="G1142" s="245">
        <v>-3.4</v>
      </c>
      <c r="H1142" s="245">
        <v>0.4</v>
      </c>
      <c r="I1142" s="245">
        <v>6.7</v>
      </c>
      <c r="J1142" s="245">
        <v>11.5</v>
      </c>
      <c r="K1142" s="245">
        <v>14.6</v>
      </c>
      <c r="L1142" s="245">
        <v>17.600000000000001</v>
      </c>
      <c r="M1142" s="245">
        <v>17.899999999999999</v>
      </c>
      <c r="N1142" s="245">
        <v>14.2</v>
      </c>
      <c r="O1142" s="245">
        <v>9</v>
      </c>
      <c r="P1142" s="245">
        <v>3.3</v>
      </c>
      <c r="Q1142" s="245">
        <v>-1.9</v>
      </c>
      <c r="R1142" s="246">
        <v>7.1</v>
      </c>
      <c r="S1142" s="233">
        <v>467</v>
      </c>
      <c r="T1142" s="247" t="s">
        <v>2354</v>
      </c>
      <c r="U1142" s="245">
        <v>-21</v>
      </c>
      <c r="V1142" s="245">
        <v>-18</v>
      </c>
      <c r="W1142" s="245">
        <v>-18</v>
      </c>
      <c r="X1142" s="245">
        <v>-14</v>
      </c>
      <c r="Y1142" s="245" t="s">
        <v>956</v>
      </c>
      <c r="Z1142" s="245" t="s">
        <v>931</v>
      </c>
      <c r="AA1142" s="245" t="s">
        <v>956</v>
      </c>
      <c r="AB1142" s="245">
        <v>102</v>
      </c>
      <c r="AC1142" s="245">
        <v>-3</v>
      </c>
      <c r="AD1142" s="245">
        <v>184</v>
      </c>
      <c r="AE1142" s="245">
        <v>0.1</v>
      </c>
      <c r="AF1142" s="245">
        <v>204</v>
      </c>
      <c r="AG1142" s="245">
        <v>1</v>
      </c>
      <c r="AH1142" s="245">
        <v>70</v>
      </c>
      <c r="AI1142" s="245">
        <v>59</v>
      </c>
      <c r="AJ1142" s="245">
        <v>106</v>
      </c>
      <c r="AK1142" s="245" t="s">
        <v>950</v>
      </c>
      <c r="AL1142" s="245">
        <v>6.6</v>
      </c>
      <c r="AM1142" s="246" t="s">
        <v>931</v>
      </c>
      <c r="AN1142" s="235">
        <v>467</v>
      </c>
      <c r="AO1142" s="247" t="s">
        <v>2355</v>
      </c>
      <c r="AP1142" s="247">
        <v>845</v>
      </c>
      <c r="AQ1142" s="247" t="s">
        <v>958</v>
      </c>
      <c r="AR1142" s="247" t="s">
        <v>931</v>
      </c>
      <c r="AS1142" s="247">
        <v>27.3</v>
      </c>
      <c r="AT1142" s="247">
        <v>35</v>
      </c>
      <c r="AU1142" s="247" t="s">
        <v>934</v>
      </c>
      <c r="AV1142" s="247">
        <v>70</v>
      </c>
      <c r="AW1142" s="247">
        <v>50</v>
      </c>
      <c r="AX1142" s="247">
        <v>369</v>
      </c>
      <c r="AY1142" s="247">
        <v>53</v>
      </c>
      <c r="AZ1142" s="247" t="s">
        <v>1038</v>
      </c>
      <c r="BA1142" s="248">
        <v>0</v>
      </c>
      <c r="BB1142" s="235"/>
      <c r="BC1142" s="247" t="s">
        <v>2354</v>
      </c>
      <c r="BD1142" s="247"/>
      <c r="BE1142" s="247"/>
      <c r="BF1142" s="247"/>
      <c r="BG1142" s="247"/>
      <c r="BH1142" s="247"/>
      <c r="BI1142" s="247"/>
      <c r="BJ1142" s="247"/>
      <c r="BK1142" s="247"/>
      <c r="BL1142" s="247"/>
      <c r="BM1142" s="247"/>
      <c r="BN1142" s="247"/>
      <c r="BO1142" s="247"/>
      <c r="BP1142" s="248"/>
    </row>
    <row r="1143" spans="1:68" ht="14.25" customHeight="1">
      <c r="A1143" s="233">
        <v>486</v>
      </c>
      <c r="B1143" s="234">
        <v>206</v>
      </c>
      <c r="C1143" s="244" t="s">
        <v>928</v>
      </c>
      <c r="D1143" s="244" t="s">
        <v>1039</v>
      </c>
      <c r="E1143" s="244" t="s">
        <v>2356</v>
      </c>
      <c r="F1143" s="245">
        <v>-36.6</v>
      </c>
      <c r="G1143" s="245">
        <v>-33.4</v>
      </c>
      <c r="H1143" s="245">
        <v>-25.8</v>
      </c>
      <c r="I1143" s="245">
        <v>-12</v>
      </c>
      <c r="J1143" s="245">
        <v>2.8</v>
      </c>
      <c r="K1143" s="245">
        <v>13</v>
      </c>
      <c r="L1143" s="245">
        <v>15.1</v>
      </c>
      <c r="M1143" s="245">
        <v>11.9</v>
      </c>
      <c r="N1143" s="245">
        <v>4</v>
      </c>
      <c r="O1143" s="245">
        <v>-11.3</v>
      </c>
      <c r="P1143" s="245">
        <v>-28.6</v>
      </c>
      <c r="Q1143" s="245">
        <v>-35.799999999999997</v>
      </c>
      <c r="R1143" s="246">
        <v>-11.4</v>
      </c>
      <c r="S1143" s="233">
        <v>206</v>
      </c>
      <c r="T1143" s="247" t="s">
        <v>2357</v>
      </c>
      <c r="U1143" s="245">
        <v>-58</v>
      </c>
      <c r="V1143" s="245">
        <v>-53</v>
      </c>
      <c r="W1143" s="245">
        <v>-55</v>
      </c>
      <c r="X1143" s="245">
        <v>-52</v>
      </c>
      <c r="Y1143" s="245">
        <v>-42</v>
      </c>
      <c r="Z1143" s="245">
        <v>-56</v>
      </c>
      <c r="AA1143" s="245">
        <v>6.3</v>
      </c>
      <c r="AB1143" s="245">
        <v>229</v>
      </c>
      <c r="AC1143" s="245">
        <v>-23.9</v>
      </c>
      <c r="AD1143" s="245">
        <v>274</v>
      </c>
      <c r="AE1143" s="245">
        <v>-19.3</v>
      </c>
      <c r="AF1143" s="245">
        <v>287</v>
      </c>
      <c r="AG1143" s="245">
        <v>-17.899999999999999</v>
      </c>
      <c r="AH1143" s="245">
        <v>77</v>
      </c>
      <c r="AI1143" s="245">
        <v>76</v>
      </c>
      <c r="AJ1143" s="245">
        <v>160</v>
      </c>
      <c r="AK1143" s="245" t="s">
        <v>971</v>
      </c>
      <c r="AL1143" s="245">
        <v>2</v>
      </c>
      <c r="AM1143" s="246">
        <v>1.6</v>
      </c>
      <c r="AN1143" s="235">
        <v>206</v>
      </c>
      <c r="AO1143" s="247" t="s">
        <v>2358</v>
      </c>
      <c r="AP1143" s="247">
        <v>985</v>
      </c>
      <c r="AQ1143" s="247">
        <v>19.8</v>
      </c>
      <c r="AR1143" s="247">
        <v>24.1</v>
      </c>
      <c r="AS1143" s="247">
        <v>22.2</v>
      </c>
      <c r="AT1143" s="247">
        <v>36</v>
      </c>
      <c r="AU1143" s="247">
        <v>13.6</v>
      </c>
      <c r="AV1143" s="247">
        <v>68</v>
      </c>
      <c r="AW1143" s="247">
        <v>52</v>
      </c>
      <c r="AX1143" s="247">
        <v>298</v>
      </c>
      <c r="AY1143" s="247">
        <v>46</v>
      </c>
      <c r="AZ1143" s="247" t="s">
        <v>1005</v>
      </c>
      <c r="BA1143" s="248">
        <v>0</v>
      </c>
      <c r="BB1143" s="235">
        <v>181</v>
      </c>
      <c r="BC1143" s="247" t="s">
        <v>2356</v>
      </c>
      <c r="BD1143" s="247">
        <v>0.3</v>
      </c>
      <c r="BE1143" s="247">
        <v>0.4</v>
      </c>
      <c r="BF1143" s="247">
        <v>0.7</v>
      </c>
      <c r="BG1143" s="247">
        <v>1.9</v>
      </c>
      <c r="BH1143" s="247">
        <v>4.5999999999999996</v>
      </c>
      <c r="BI1143" s="247">
        <v>8.6</v>
      </c>
      <c r="BJ1143" s="247">
        <v>11.3</v>
      </c>
      <c r="BK1143" s="247">
        <v>9.9</v>
      </c>
      <c r="BL1143" s="247">
        <v>5.9</v>
      </c>
      <c r="BM1143" s="247">
        <v>2.2999999999999998</v>
      </c>
      <c r="BN1143" s="247">
        <v>0.6</v>
      </c>
      <c r="BO1143" s="247">
        <v>0.3</v>
      </c>
      <c r="BP1143" s="248">
        <v>3.9</v>
      </c>
    </row>
    <row r="1144" spans="1:68" ht="14.25" customHeight="1">
      <c r="A1144" s="233">
        <v>487</v>
      </c>
      <c r="B1144" s="234">
        <v>432</v>
      </c>
      <c r="C1144" s="244" t="s">
        <v>928</v>
      </c>
      <c r="D1144" s="244" t="s">
        <v>969</v>
      </c>
      <c r="E1144" s="244" t="s">
        <v>2359</v>
      </c>
      <c r="F1144" s="245">
        <v>-37.299999999999997</v>
      </c>
      <c r="G1144" s="245">
        <v>-34.700000000000003</v>
      </c>
      <c r="H1144" s="245">
        <v>-26.9</v>
      </c>
      <c r="I1144" s="245">
        <v>-14.6</v>
      </c>
      <c r="J1144" s="245">
        <v>-0.3</v>
      </c>
      <c r="K1144" s="245">
        <v>11.1</v>
      </c>
      <c r="L1144" s="245">
        <v>13.5</v>
      </c>
      <c r="M1144" s="245">
        <v>9.9</v>
      </c>
      <c r="N1144" s="245">
        <v>2.8</v>
      </c>
      <c r="O1144" s="245">
        <v>-11.3</v>
      </c>
      <c r="P1144" s="245">
        <v>-27.5</v>
      </c>
      <c r="Q1144" s="245">
        <v>-35.1</v>
      </c>
      <c r="R1144" s="246">
        <v>-12.5</v>
      </c>
      <c r="S1144" s="233">
        <v>432</v>
      </c>
      <c r="T1144" s="247" t="s">
        <v>2359</v>
      </c>
      <c r="U1144" s="245">
        <v>-54</v>
      </c>
      <c r="V1144" s="245">
        <v>-53</v>
      </c>
      <c r="W1144" s="245">
        <v>-53</v>
      </c>
      <c r="X1144" s="245">
        <v>-51</v>
      </c>
      <c r="Y1144" s="245">
        <v>-42</v>
      </c>
      <c r="Z1144" s="245">
        <v>-58</v>
      </c>
      <c r="AA1144" s="245">
        <v>8</v>
      </c>
      <c r="AB1144" s="245">
        <v>237</v>
      </c>
      <c r="AC1144" s="245">
        <v>-23.7</v>
      </c>
      <c r="AD1144" s="245">
        <v>287</v>
      </c>
      <c r="AE1144" s="245">
        <v>-18.899999999999999</v>
      </c>
      <c r="AF1144" s="245">
        <v>301</v>
      </c>
      <c r="AG1144" s="245">
        <v>-17.5</v>
      </c>
      <c r="AH1144" s="245">
        <v>77</v>
      </c>
      <c r="AI1144" s="245">
        <v>77</v>
      </c>
      <c r="AJ1144" s="245">
        <v>76</v>
      </c>
      <c r="AK1144" s="245" t="s">
        <v>971</v>
      </c>
      <c r="AL1144" s="245">
        <v>2.9</v>
      </c>
      <c r="AM1144" s="246">
        <v>1.9</v>
      </c>
      <c r="AN1144" s="235">
        <v>432</v>
      </c>
      <c r="AO1144" s="247" t="s">
        <v>2360</v>
      </c>
      <c r="AP1144" s="247">
        <v>1010</v>
      </c>
      <c r="AQ1144" s="247">
        <v>16.600000000000001</v>
      </c>
      <c r="AR1144" s="247">
        <v>21</v>
      </c>
      <c r="AS1144" s="247">
        <v>19</v>
      </c>
      <c r="AT1144" s="247">
        <v>36</v>
      </c>
      <c r="AU1144" s="247">
        <v>10.4</v>
      </c>
      <c r="AV1144" s="247">
        <v>69</v>
      </c>
      <c r="AW1144" s="247">
        <v>57</v>
      </c>
      <c r="AX1144" s="247">
        <v>151</v>
      </c>
      <c r="AY1144" s="247">
        <v>45</v>
      </c>
      <c r="AZ1144" s="247" t="s">
        <v>940</v>
      </c>
      <c r="BA1144" s="248">
        <v>0</v>
      </c>
      <c r="BB1144" s="235">
        <v>395</v>
      </c>
      <c r="BC1144" s="247" t="s">
        <v>2359</v>
      </c>
      <c r="BD1144" s="247">
        <v>0.3</v>
      </c>
      <c r="BE1144" s="247">
        <v>0.3</v>
      </c>
      <c r="BF1144" s="247">
        <v>0.6</v>
      </c>
      <c r="BG1144" s="247">
        <v>1.5</v>
      </c>
      <c r="BH1144" s="247">
        <v>4.2</v>
      </c>
      <c r="BI1144" s="247">
        <v>8.1999999999999993</v>
      </c>
      <c r="BJ1144" s="247">
        <v>10.5</v>
      </c>
      <c r="BK1144" s="247">
        <v>9.3000000000000007</v>
      </c>
      <c r="BL1144" s="247">
        <v>5.7</v>
      </c>
      <c r="BM1144" s="247">
        <v>2.5</v>
      </c>
      <c r="BN1144" s="247">
        <v>0.6</v>
      </c>
      <c r="BO1144" s="247">
        <v>0.3</v>
      </c>
      <c r="BP1144" s="248">
        <v>3.7</v>
      </c>
    </row>
    <row r="1145" spans="1:68" ht="14.25" customHeight="1">
      <c r="A1145" s="233">
        <v>488</v>
      </c>
      <c r="B1145" s="234">
        <v>319</v>
      </c>
      <c r="C1145" s="244" t="s">
        <v>928</v>
      </c>
      <c r="D1145" s="244" t="s">
        <v>987</v>
      </c>
      <c r="E1145" s="244" t="s">
        <v>2361</v>
      </c>
      <c r="F1145" s="245">
        <v>-20.399999999999999</v>
      </c>
      <c r="G1145" s="245">
        <v>-18.2</v>
      </c>
      <c r="H1145" s="245">
        <v>-10.199999999999999</v>
      </c>
      <c r="I1145" s="245">
        <v>-0.4</v>
      </c>
      <c r="J1145" s="245">
        <v>7.2</v>
      </c>
      <c r="K1145" s="245">
        <v>14.7</v>
      </c>
      <c r="L1145" s="245">
        <v>17.7</v>
      </c>
      <c r="M1145" s="245">
        <v>14</v>
      </c>
      <c r="N1145" s="245">
        <v>8.6</v>
      </c>
      <c r="O1145" s="245">
        <v>-0.3</v>
      </c>
      <c r="P1145" s="245">
        <v>-11.3</v>
      </c>
      <c r="Q1145" s="245">
        <v>-18.899999999999999</v>
      </c>
      <c r="R1145" s="246">
        <v>-1.5</v>
      </c>
      <c r="S1145" s="233">
        <v>319</v>
      </c>
      <c r="T1145" s="247" t="s">
        <v>2362</v>
      </c>
      <c r="U1145" s="245">
        <v>-47</v>
      </c>
      <c r="V1145" s="245">
        <v>-46</v>
      </c>
      <c r="W1145" s="245">
        <v>-44</v>
      </c>
      <c r="X1145" s="245">
        <v>-41</v>
      </c>
      <c r="Y1145" s="245">
        <v>-25</v>
      </c>
      <c r="Z1145" s="245">
        <v>-51</v>
      </c>
      <c r="AA1145" s="245">
        <v>8.9</v>
      </c>
      <c r="AB1145" s="245">
        <v>184</v>
      </c>
      <c r="AC1145" s="245">
        <v>-13</v>
      </c>
      <c r="AD1145" s="245">
        <v>244</v>
      </c>
      <c r="AE1145" s="245">
        <v>-8.8000000000000007</v>
      </c>
      <c r="AF1145" s="245">
        <v>262</v>
      </c>
      <c r="AG1145" s="245">
        <v>-7.6</v>
      </c>
      <c r="AH1145" s="245">
        <v>80</v>
      </c>
      <c r="AI1145" s="245">
        <v>79</v>
      </c>
      <c r="AJ1145" s="245">
        <v>147</v>
      </c>
      <c r="AK1145" s="245" t="s">
        <v>971</v>
      </c>
      <c r="AL1145" s="245">
        <v>3.8</v>
      </c>
      <c r="AM1145" s="246">
        <v>3.5</v>
      </c>
      <c r="AN1145" s="235">
        <v>319</v>
      </c>
      <c r="AO1145" s="247" t="s">
        <v>2363</v>
      </c>
      <c r="AP1145" s="247">
        <v>1000</v>
      </c>
      <c r="AQ1145" s="247">
        <v>21.3</v>
      </c>
      <c r="AR1145" s="247">
        <v>25.5</v>
      </c>
      <c r="AS1145" s="247">
        <v>23.7</v>
      </c>
      <c r="AT1145" s="247">
        <v>37</v>
      </c>
      <c r="AU1145" s="247">
        <v>11.4</v>
      </c>
      <c r="AV1145" s="247">
        <v>73</v>
      </c>
      <c r="AW1145" s="247">
        <v>58</v>
      </c>
      <c r="AX1145" s="247">
        <v>431</v>
      </c>
      <c r="AY1145" s="247">
        <v>56</v>
      </c>
      <c r="AZ1145" s="247" t="s">
        <v>959</v>
      </c>
      <c r="BA1145" s="248">
        <v>2.7</v>
      </c>
      <c r="BB1145" s="235">
        <v>287</v>
      </c>
      <c r="BC1145" s="247" t="s">
        <v>2361</v>
      </c>
      <c r="BD1145" s="247">
        <v>1.3</v>
      </c>
      <c r="BE1145" s="247">
        <v>1.4</v>
      </c>
      <c r="BF1145" s="247">
        <v>2.2999999999999998</v>
      </c>
      <c r="BG1145" s="247">
        <v>4.0999999999999996</v>
      </c>
      <c r="BH1145" s="247">
        <v>6.5</v>
      </c>
      <c r="BI1145" s="247">
        <v>11.1</v>
      </c>
      <c r="BJ1145" s="247">
        <v>14.8</v>
      </c>
      <c r="BK1145" s="247">
        <v>12.8</v>
      </c>
      <c r="BL1145" s="247">
        <v>9</v>
      </c>
      <c r="BM1145" s="247">
        <v>5</v>
      </c>
      <c r="BN1145" s="247">
        <v>2.7</v>
      </c>
      <c r="BO1145" s="247">
        <v>1.6</v>
      </c>
      <c r="BP1145" s="248">
        <v>6.1</v>
      </c>
    </row>
    <row r="1146" spans="1:68" ht="14.25" customHeight="1">
      <c r="A1146" s="233">
        <v>489</v>
      </c>
      <c r="B1146" s="234">
        <v>386</v>
      </c>
      <c r="C1146" s="244" t="s">
        <v>928</v>
      </c>
      <c r="D1146" s="244" t="s">
        <v>947</v>
      </c>
      <c r="E1146" s="244" t="s">
        <v>2364</v>
      </c>
      <c r="F1146" s="245">
        <v>-36.299999999999997</v>
      </c>
      <c r="G1146" s="245">
        <v>-30.7</v>
      </c>
      <c r="H1146" s="245">
        <v>-19.100000000000001</v>
      </c>
      <c r="I1146" s="245">
        <v>-5.7</v>
      </c>
      <c r="J1146" s="245">
        <v>4.5</v>
      </c>
      <c r="K1146" s="245">
        <v>12.1</v>
      </c>
      <c r="L1146" s="245">
        <v>15.1</v>
      </c>
      <c r="M1146" s="245">
        <v>12.1</v>
      </c>
      <c r="N1146" s="245">
        <v>4.5</v>
      </c>
      <c r="O1146" s="245">
        <v>-7.5</v>
      </c>
      <c r="P1146" s="245">
        <v>-23.7</v>
      </c>
      <c r="Q1146" s="245">
        <v>-34.4</v>
      </c>
      <c r="R1146" s="246">
        <v>-9.1</v>
      </c>
      <c r="S1146" s="233">
        <v>386</v>
      </c>
      <c r="T1146" s="247" t="s">
        <v>2365</v>
      </c>
      <c r="U1146" s="245">
        <v>-52</v>
      </c>
      <c r="V1146" s="245">
        <v>-50</v>
      </c>
      <c r="W1146" s="245">
        <v>-48</v>
      </c>
      <c r="X1146" s="245">
        <v>-46</v>
      </c>
      <c r="Y1146" s="245">
        <v>-41</v>
      </c>
      <c r="Z1146" s="245">
        <v>-56</v>
      </c>
      <c r="AA1146" s="245">
        <v>17.2</v>
      </c>
      <c r="AB1146" s="245">
        <v>218</v>
      </c>
      <c r="AC1146" s="245">
        <v>-21.5</v>
      </c>
      <c r="AD1146" s="245">
        <v>271</v>
      </c>
      <c r="AE1146" s="245">
        <v>-16.399999999999999</v>
      </c>
      <c r="AF1146" s="245">
        <v>287</v>
      </c>
      <c r="AG1146" s="245">
        <v>-15</v>
      </c>
      <c r="AH1146" s="245">
        <v>78</v>
      </c>
      <c r="AI1146" s="245">
        <v>73</v>
      </c>
      <c r="AJ1146" s="245">
        <v>20</v>
      </c>
      <c r="AK1146" s="245" t="s">
        <v>938</v>
      </c>
      <c r="AL1146" s="245" t="s">
        <v>931</v>
      </c>
      <c r="AM1146" s="246">
        <v>0.9</v>
      </c>
      <c r="AN1146" s="235">
        <v>386</v>
      </c>
      <c r="AO1146" s="247" t="s">
        <v>2366</v>
      </c>
      <c r="AP1146" s="247">
        <v>925</v>
      </c>
      <c r="AQ1146" s="247">
        <v>21.6</v>
      </c>
      <c r="AR1146" s="247">
        <v>25.8</v>
      </c>
      <c r="AS1146" s="247">
        <v>24</v>
      </c>
      <c r="AT1146" s="247">
        <v>36</v>
      </c>
      <c r="AU1146" s="247">
        <v>16.600000000000001</v>
      </c>
      <c r="AV1146" s="247">
        <v>76</v>
      </c>
      <c r="AW1146" s="247">
        <v>53</v>
      </c>
      <c r="AX1146" s="247">
        <v>351</v>
      </c>
      <c r="AY1146" s="247">
        <v>64</v>
      </c>
      <c r="AZ1146" s="247" t="s">
        <v>940</v>
      </c>
      <c r="BA1146" s="248" t="s">
        <v>934</v>
      </c>
      <c r="BB1146" s="235">
        <v>350</v>
      </c>
      <c r="BC1146" s="247" t="s">
        <v>2364</v>
      </c>
      <c r="BD1146" s="247">
        <v>0.3</v>
      </c>
      <c r="BE1146" s="247">
        <v>0.4</v>
      </c>
      <c r="BF1146" s="247">
        <v>1</v>
      </c>
      <c r="BG1146" s="247">
        <v>2.4</v>
      </c>
      <c r="BH1146" s="247">
        <v>4.5999999999999996</v>
      </c>
      <c r="BI1146" s="247">
        <v>9.1</v>
      </c>
      <c r="BJ1146" s="247">
        <v>12.9</v>
      </c>
      <c r="BK1146" s="247">
        <v>11.2</v>
      </c>
      <c r="BL1146" s="247">
        <v>6.3</v>
      </c>
      <c r="BM1146" s="247">
        <v>2.7</v>
      </c>
      <c r="BN1146" s="247">
        <v>0.9</v>
      </c>
      <c r="BO1146" s="247">
        <v>0.4</v>
      </c>
      <c r="BP1146" s="248">
        <v>4.4000000000000004</v>
      </c>
    </row>
    <row r="1147" spans="1:68" ht="14.25" customHeight="1">
      <c r="A1147" s="233">
        <v>490</v>
      </c>
      <c r="B1147" s="234">
        <v>365</v>
      </c>
      <c r="C1147" s="244" t="s">
        <v>928</v>
      </c>
      <c r="D1147" s="244" t="s">
        <v>1081</v>
      </c>
      <c r="E1147" s="244" t="s">
        <v>2367</v>
      </c>
      <c r="F1147" s="245">
        <v>-31.1</v>
      </c>
      <c r="G1147" s="245">
        <v>-23</v>
      </c>
      <c r="H1147" s="245">
        <v>-12.1</v>
      </c>
      <c r="I1147" s="245">
        <v>0.2</v>
      </c>
      <c r="J1147" s="245">
        <v>8.1</v>
      </c>
      <c r="K1147" s="245">
        <v>14.8</v>
      </c>
      <c r="L1147" s="245">
        <v>18.8</v>
      </c>
      <c r="M1147" s="245">
        <v>16.5</v>
      </c>
      <c r="N1147" s="245">
        <v>9.5</v>
      </c>
      <c r="O1147" s="245">
        <v>-0.8</v>
      </c>
      <c r="P1147" s="245">
        <v>-16.600000000000001</v>
      </c>
      <c r="Q1147" s="245">
        <v>-28.6</v>
      </c>
      <c r="R1147" s="246">
        <v>-3.7</v>
      </c>
      <c r="S1147" s="233">
        <v>365</v>
      </c>
      <c r="T1147" s="247" t="s">
        <v>2368</v>
      </c>
      <c r="U1147" s="245">
        <v>-43</v>
      </c>
      <c r="V1147" s="245">
        <v>-42</v>
      </c>
      <c r="W1147" s="245">
        <v>-41</v>
      </c>
      <c r="X1147" s="245">
        <v>-40</v>
      </c>
      <c r="Y1147" s="245">
        <v>-36</v>
      </c>
      <c r="Z1147" s="245">
        <v>-52</v>
      </c>
      <c r="AA1147" s="245">
        <v>12.1</v>
      </c>
      <c r="AB1147" s="245">
        <v>183</v>
      </c>
      <c r="AC1147" s="245">
        <v>-18.399999999999999</v>
      </c>
      <c r="AD1147" s="245">
        <v>238</v>
      </c>
      <c r="AE1147" s="245">
        <v>-13.3</v>
      </c>
      <c r="AF1147" s="245">
        <v>253</v>
      </c>
      <c r="AG1147" s="245">
        <v>-11.9</v>
      </c>
      <c r="AH1147" s="245">
        <v>76</v>
      </c>
      <c r="AI1147" s="245">
        <v>69</v>
      </c>
      <c r="AJ1147" s="245">
        <v>57</v>
      </c>
      <c r="AK1147" s="245" t="s">
        <v>931</v>
      </c>
      <c r="AL1147" s="245" t="s">
        <v>931</v>
      </c>
      <c r="AM1147" s="246" t="s">
        <v>931</v>
      </c>
      <c r="AN1147" s="235">
        <v>365</v>
      </c>
      <c r="AO1147" s="247" t="s">
        <v>2369</v>
      </c>
      <c r="AP1147" s="247">
        <v>965</v>
      </c>
      <c r="AQ1147" s="247">
        <v>23.6</v>
      </c>
      <c r="AR1147" s="247">
        <v>27.7</v>
      </c>
      <c r="AS1147" s="247">
        <v>26</v>
      </c>
      <c r="AT1147" s="247">
        <v>40</v>
      </c>
      <c r="AU1147" s="247">
        <v>14.1</v>
      </c>
      <c r="AV1147" s="247">
        <v>78</v>
      </c>
      <c r="AW1147" s="247">
        <v>61</v>
      </c>
      <c r="AX1147" s="247">
        <v>625</v>
      </c>
      <c r="AY1147" s="247" t="s">
        <v>965</v>
      </c>
      <c r="AZ1147" s="247" t="s">
        <v>933</v>
      </c>
      <c r="BA1147" s="248" t="s">
        <v>934</v>
      </c>
      <c r="BB1147" s="235">
        <v>330</v>
      </c>
      <c r="BC1147" s="247" t="s">
        <v>2367</v>
      </c>
      <c r="BD1147" s="247">
        <v>0.5</v>
      </c>
      <c r="BE1147" s="247">
        <v>0.8</v>
      </c>
      <c r="BF1147" s="247">
        <v>1.8</v>
      </c>
      <c r="BG1147" s="247">
        <v>3.7</v>
      </c>
      <c r="BH1147" s="247">
        <v>6.7</v>
      </c>
      <c r="BI1147" s="247">
        <v>12.2</v>
      </c>
      <c r="BJ1147" s="247">
        <v>16.899999999999999</v>
      </c>
      <c r="BK1147" s="247">
        <v>15.6</v>
      </c>
      <c r="BL1147" s="247">
        <v>9.4</v>
      </c>
      <c r="BM1147" s="247">
        <v>4.3</v>
      </c>
      <c r="BN1147" s="247">
        <v>1.6</v>
      </c>
      <c r="BO1147" s="247">
        <v>0.6</v>
      </c>
      <c r="BP1147" s="248">
        <v>6.2</v>
      </c>
    </row>
    <row r="1148" spans="1:68" ht="14.25" customHeight="1">
      <c r="A1148" s="233">
        <v>491</v>
      </c>
      <c r="B1148" s="234">
        <v>30</v>
      </c>
      <c r="C1148" s="244" t="s">
        <v>928</v>
      </c>
      <c r="D1148" s="244" t="s">
        <v>1046</v>
      </c>
      <c r="E1148" s="244" t="s">
        <v>2370</v>
      </c>
      <c r="F1148" s="245">
        <v>-34.700000000000003</v>
      </c>
      <c r="G1148" s="245">
        <v>-28.9</v>
      </c>
      <c r="H1148" s="245">
        <v>-18.399999999999999</v>
      </c>
      <c r="I1148" s="245">
        <v>-5.4</v>
      </c>
      <c r="J1148" s="245">
        <v>5.3</v>
      </c>
      <c r="K1148" s="245">
        <v>13.2</v>
      </c>
      <c r="L1148" s="245">
        <v>16.8</v>
      </c>
      <c r="M1148" s="245">
        <v>13.4</v>
      </c>
      <c r="N1148" s="245">
        <v>5.7</v>
      </c>
      <c r="O1148" s="245">
        <v>-6.6</v>
      </c>
      <c r="P1148" s="245">
        <v>-22.9</v>
      </c>
      <c r="Q1148" s="245">
        <v>-32.9</v>
      </c>
      <c r="R1148" s="246">
        <v>-8</v>
      </c>
      <c r="S1148" s="233">
        <v>30</v>
      </c>
      <c r="T1148" s="247" t="s">
        <v>2371</v>
      </c>
      <c r="U1148" s="245">
        <v>-52</v>
      </c>
      <c r="V1148" s="245">
        <v>-49</v>
      </c>
      <c r="W1148" s="245">
        <v>-47</v>
      </c>
      <c r="X1148" s="245">
        <v>-45</v>
      </c>
      <c r="Y1148" s="245">
        <v>-40</v>
      </c>
      <c r="Z1148" s="245">
        <v>-58</v>
      </c>
      <c r="AA1148" s="245">
        <v>13.3</v>
      </c>
      <c r="AB1148" s="245">
        <v>213</v>
      </c>
      <c r="AC1148" s="245">
        <v>-20.8</v>
      </c>
      <c r="AD1148" s="245">
        <v>262</v>
      </c>
      <c r="AE1148" s="245">
        <v>-16.100000000000001</v>
      </c>
      <c r="AF1148" s="245">
        <v>278</v>
      </c>
      <c r="AG1148" s="245">
        <v>-14.7</v>
      </c>
      <c r="AH1148" s="245">
        <v>76</v>
      </c>
      <c r="AI1148" s="245">
        <v>72</v>
      </c>
      <c r="AJ1148" s="245">
        <v>77</v>
      </c>
      <c r="AK1148" s="245" t="s">
        <v>990</v>
      </c>
      <c r="AL1148" s="245" t="s">
        <v>931</v>
      </c>
      <c r="AM1148" s="246" t="s">
        <v>931</v>
      </c>
      <c r="AN1148" s="235">
        <v>30</v>
      </c>
      <c r="AO1148" s="247" t="s">
        <v>2372</v>
      </c>
      <c r="AP1148" s="247">
        <v>945</v>
      </c>
      <c r="AQ1148" s="247">
        <v>22.6</v>
      </c>
      <c r="AR1148" s="247">
        <v>26.8</v>
      </c>
      <c r="AS1148" s="247">
        <v>25</v>
      </c>
      <c r="AT1148" s="247">
        <v>38</v>
      </c>
      <c r="AU1148" s="247">
        <v>16.7</v>
      </c>
      <c r="AV1148" s="247">
        <v>76</v>
      </c>
      <c r="AW1148" s="247">
        <v>56</v>
      </c>
      <c r="AX1148" s="247">
        <v>546</v>
      </c>
      <c r="AY1148" s="247" t="s">
        <v>965</v>
      </c>
      <c r="AZ1148" s="247" t="s">
        <v>946</v>
      </c>
      <c r="BA1148" s="248" t="s">
        <v>934</v>
      </c>
      <c r="BB1148" s="235"/>
      <c r="BC1148" s="247" t="s">
        <v>2370</v>
      </c>
      <c r="BD1148" s="247"/>
      <c r="BE1148" s="247"/>
      <c r="BF1148" s="247"/>
      <c r="BG1148" s="247"/>
      <c r="BH1148" s="247"/>
      <c r="BI1148" s="247"/>
      <c r="BJ1148" s="247"/>
      <c r="BK1148" s="247"/>
      <c r="BL1148" s="247"/>
      <c r="BM1148" s="247"/>
      <c r="BN1148" s="247"/>
      <c r="BO1148" s="247"/>
      <c r="BP1148" s="248"/>
    </row>
    <row r="1149" spans="1:68" ht="14.25" customHeight="1">
      <c r="A1149" s="233">
        <v>492</v>
      </c>
      <c r="B1149" s="234">
        <v>309</v>
      </c>
      <c r="C1149" s="244" t="s">
        <v>928</v>
      </c>
      <c r="D1149" s="244" t="s">
        <v>1034</v>
      </c>
      <c r="E1149" s="244" t="s">
        <v>229</v>
      </c>
      <c r="F1149" s="245">
        <v>-3.2</v>
      </c>
      <c r="G1149" s="245">
        <v>-2.2999999999999998</v>
      </c>
      <c r="H1149" s="245">
        <v>1.3</v>
      </c>
      <c r="I1149" s="245">
        <v>9.3000000000000007</v>
      </c>
      <c r="J1149" s="245">
        <v>15.3</v>
      </c>
      <c r="K1149" s="245">
        <v>19.3</v>
      </c>
      <c r="L1149" s="245">
        <v>21.9</v>
      </c>
      <c r="M1149" s="245">
        <v>21.2</v>
      </c>
      <c r="N1149" s="245">
        <v>16.100000000000001</v>
      </c>
      <c r="O1149" s="245">
        <v>9.6</v>
      </c>
      <c r="P1149" s="245">
        <v>4.0999999999999996</v>
      </c>
      <c r="Q1149" s="245">
        <v>-0.5</v>
      </c>
      <c r="R1149" s="246">
        <v>9.1</v>
      </c>
      <c r="S1149" s="233">
        <v>309</v>
      </c>
      <c r="T1149" s="247" t="s">
        <v>2373</v>
      </c>
      <c r="U1149" s="245">
        <v>-26</v>
      </c>
      <c r="V1149" s="245">
        <v>-23</v>
      </c>
      <c r="W1149" s="245">
        <v>-22</v>
      </c>
      <c r="X1149" s="245">
        <v>-19</v>
      </c>
      <c r="Y1149" s="245">
        <v>-8</v>
      </c>
      <c r="Z1149" s="245">
        <v>-31</v>
      </c>
      <c r="AA1149" s="245">
        <v>6.6</v>
      </c>
      <c r="AB1149" s="245">
        <v>83</v>
      </c>
      <c r="AC1149" s="245">
        <v>-2</v>
      </c>
      <c r="AD1149" s="245">
        <v>168</v>
      </c>
      <c r="AE1149" s="245">
        <v>0.9</v>
      </c>
      <c r="AF1149" s="245">
        <v>187</v>
      </c>
      <c r="AG1149" s="245">
        <v>1.7</v>
      </c>
      <c r="AH1149" s="245">
        <v>82</v>
      </c>
      <c r="AI1149" s="245">
        <v>78</v>
      </c>
      <c r="AJ1149" s="245">
        <v>196</v>
      </c>
      <c r="AK1149" s="245" t="s">
        <v>950</v>
      </c>
      <c r="AL1149" s="245">
        <v>7.4</v>
      </c>
      <c r="AM1149" s="246">
        <v>4.4000000000000004</v>
      </c>
      <c r="AN1149" s="235">
        <v>309</v>
      </c>
      <c r="AO1149" s="247" t="s">
        <v>2374</v>
      </c>
      <c r="AP1149" s="247">
        <v>965</v>
      </c>
      <c r="AQ1149" s="247">
        <v>25</v>
      </c>
      <c r="AR1149" s="247">
        <v>29</v>
      </c>
      <c r="AS1149" s="247">
        <v>27.4</v>
      </c>
      <c r="AT1149" s="247">
        <v>40</v>
      </c>
      <c r="AU1149" s="247">
        <v>9.8000000000000007</v>
      </c>
      <c r="AV1149" s="247">
        <v>59</v>
      </c>
      <c r="AW1149" s="247">
        <v>47</v>
      </c>
      <c r="AX1149" s="247">
        <v>457</v>
      </c>
      <c r="AY1149" s="247" t="s">
        <v>965</v>
      </c>
      <c r="AZ1149" s="247" t="s">
        <v>952</v>
      </c>
      <c r="BA1149" s="248">
        <v>0</v>
      </c>
      <c r="BB1149" s="235">
        <v>278</v>
      </c>
      <c r="BC1149" s="247" t="s">
        <v>229</v>
      </c>
      <c r="BD1149" s="247">
        <v>4.2</v>
      </c>
      <c r="BE1149" s="247">
        <v>4.3</v>
      </c>
      <c r="BF1149" s="247">
        <v>5.3</v>
      </c>
      <c r="BG1149" s="247">
        <v>7.6</v>
      </c>
      <c r="BH1149" s="247">
        <v>11.2</v>
      </c>
      <c r="BI1149" s="247">
        <v>13.5</v>
      </c>
      <c r="BJ1149" s="247">
        <v>14.8</v>
      </c>
      <c r="BK1149" s="247">
        <v>14.1</v>
      </c>
      <c r="BL1149" s="247">
        <v>11.5</v>
      </c>
      <c r="BM1149" s="247">
        <v>8.6999999999999993</v>
      </c>
      <c r="BN1149" s="247">
        <v>6.6</v>
      </c>
      <c r="BO1149" s="247">
        <v>5</v>
      </c>
      <c r="BP1149" s="248">
        <v>8.9</v>
      </c>
    </row>
    <row r="1150" spans="1:68" ht="14.25" customHeight="1">
      <c r="A1150" s="233">
        <v>493</v>
      </c>
      <c r="B1150" s="234">
        <v>468</v>
      </c>
      <c r="C1150" s="244" t="s">
        <v>1253</v>
      </c>
      <c r="D1150" s="244" t="s">
        <v>1253</v>
      </c>
      <c r="E1150" s="244" t="s">
        <v>2375</v>
      </c>
      <c r="F1150" s="245">
        <v>-3.6</v>
      </c>
      <c r="G1150" s="245">
        <v>-2.8</v>
      </c>
      <c r="H1150" s="245">
        <v>0.6</v>
      </c>
      <c r="I1150" s="245">
        <v>6.7</v>
      </c>
      <c r="J1150" s="245">
        <v>11.3</v>
      </c>
      <c r="K1150" s="245">
        <v>14.2</v>
      </c>
      <c r="L1150" s="245">
        <v>17.100000000000001</v>
      </c>
      <c r="M1150" s="245">
        <v>16.8</v>
      </c>
      <c r="N1150" s="245">
        <v>13.3</v>
      </c>
      <c r="O1150" s="245">
        <v>8.1999999999999993</v>
      </c>
      <c r="P1150" s="245">
        <v>3.1</v>
      </c>
      <c r="Q1150" s="245">
        <v>-1.8</v>
      </c>
      <c r="R1150" s="246">
        <v>6.9</v>
      </c>
      <c r="S1150" s="233">
        <v>468</v>
      </c>
      <c r="T1150" s="247" t="s">
        <v>2376</v>
      </c>
      <c r="U1150" s="245">
        <v>-22</v>
      </c>
      <c r="V1150" s="245">
        <v>-19</v>
      </c>
      <c r="W1150" s="245">
        <v>-18</v>
      </c>
      <c r="X1150" s="245">
        <v>-16</v>
      </c>
      <c r="Y1150" s="245" t="s">
        <v>956</v>
      </c>
      <c r="Z1150" s="245">
        <v>-31</v>
      </c>
      <c r="AA1150" s="245" t="s">
        <v>956</v>
      </c>
      <c r="AB1150" s="245">
        <v>99</v>
      </c>
      <c r="AC1150" s="245">
        <v>-2.6</v>
      </c>
      <c r="AD1150" s="245">
        <v>189</v>
      </c>
      <c r="AE1150" s="245">
        <v>0.6</v>
      </c>
      <c r="AF1150" s="245">
        <v>211</v>
      </c>
      <c r="AG1150" s="245">
        <v>1.4</v>
      </c>
      <c r="AH1150" s="245">
        <v>68</v>
      </c>
      <c r="AI1150" s="245">
        <v>56</v>
      </c>
      <c r="AJ1150" s="245">
        <v>142</v>
      </c>
      <c r="AK1150" s="245" t="s">
        <v>971</v>
      </c>
      <c r="AL1150" s="245">
        <v>7.2</v>
      </c>
      <c r="AM1150" s="246" t="s">
        <v>931</v>
      </c>
      <c r="AN1150" s="235">
        <v>468</v>
      </c>
      <c r="AO1150" s="247" t="s">
        <v>2377</v>
      </c>
      <c r="AP1150" s="247">
        <v>860</v>
      </c>
      <c r="AQ1150" s="247" t="s">
        <v>958</v>
      </c>
      <c r="AR1150" s="247" t="s">
        <v>931</v>
      </c>
      <c r="AS1150" s="247">
        <v>23.3</v>
      </c>
      <c r="AT1150" s="247">
        <v>35</v>
      </c>
      <c r="AU1150" s="247" t="s">
        <v>934</v>
      </c>
      <c r="AV1150" s="247">
        <v>77</v>
      </c>
      <c r="AW1150" s="247">
        <v>60</v>
      </c>
      <c r="AX1150" s="247">
        <v>545</v>
      </c>
      <c r="AY1150" s="247">
        <v>53</v>
      </c>
      <c r="AZ1150" s="247" t="s">
        <v>952</v>
      </c>
      <c r="BA1150" s="248">
        <v>0</v>
      </c>
      <c r="BB1150" s="235"/>
      <c r="BC1150" s="247" t="s">
        <v>2376</v>
      </c>
      <c r="BD1150" s="247"/>
      <c r="BE1150" s="247"/>
      <c r="BF1150" s="247"/>
      <c r="BG1150" s="247"/>
      <c r="BH1150" s="247"/>
      <c r="BI1150" s="247"/>
      <c r="BJ1150" s="247"/>
      <c r="BK1150" s="247"/>
      <c r="BL1150" s="247"/>
      <c r="BM1150" s="247"/>
      <c r="BN1150" s="247"/>
      <c r="BO1150" s="247"/>
      <c r="BP1150" s="248"/>
    </row>
    <row r="1151" spans="1:68" ht="14.25" customHeight="1">
      <c r="A1151" s="233">
        <v>494</v>
      </c>
      <c r="B1151" s="234">
        <v>637</v>
      </c>
      <c r="C1151" s="244" t="s">
        <v>953</v>
      </c>
      <c r="D1151" s="244" t="s">
        <v>2238</v>
      </c>
      <c r="E1151" s="244" t="s">
        <v>2378</v>
      </c>
      <c r="F1151" s="245">
        <v>-7.7</v>
      </c>
      <c r="G1151" s="245">
        <v>-6.4</v>
      </c>
      <c r="H1151" s="245">
        <v>-1.1000000000000001</v>
      </c>
      <c r="I1151" s="245">
        <v>7.9</v>
      </c>
      <c r="J1151" s="245">
        <v>14.9</v>
      </c>
      <c r="K1151" s="245">
        <v>18</v>
      </c>
      <c r="L1151" s="245">
        <v>19.2</v>
      </c>
      <c r="M1151" s="245">
        <v>18.2</v>
      </c>
      <c r="N1151" s="245">
        <v>13</v>
      </c>
      <c r="O1151" s="245">
        <v>6.6</v>
      </c>
      <c r="P1151" s="245">
        <v>0.6</v>
      </c>
      <c r="Q1151" s="245">
        <v>-4.0999999999999996</v>
      </c>
      <c r="R1151" s="246">
        <v>6.6</v>
      </c>
      <c r="S1151" s="233">
        <v>626</v>
      </c>
      <c r="T1151" s="247" t="s">
        <v>2378</v>
      </c>
      <c r="U1151" s="245">
        <v>-30</v>
      </c>
      <c r="V1151" s="245">
        <v>-29</v>
      </c>
      <c r="W1151" s="245">
        <v>-27</v>
      </c>
      <c r="X1151" s="245">
        <v>-25</v>
      </c>
      <c r="Y1151" s="245">
        <v>-13</v>
      </c>
      <c r="Z1151" s="245">
        <v>-36</v>
      </c>
      <c r="AA1151" s="245" t="s">
        <v>956</v>
      </c>
      <c r="AB1151" s="245">
        <v>121</v>
      </c>
      <c r="AC1151" s="245">
        <v>-5</v>
      </c>
      <c r="AD1151" s="245">
        <v>185</v>
      </c>
      <c r="AE1151" s="245">
        <v>-1.9</v>
      </c>
      <c r="AF1151" s="245">
        <v>201</v>
      </c>
      <c r="AG1151" s="245">
        <v>-1.1000000000000001</v>
      </c>
      <c r="AH1151" s="245" t="s">
        <v>956</v>
      </c>
      <c r="AI1151" s="245" t="s">
        <v>956</v>
      </c>
      <c r="AJ1151" s="245">
        <v>220</v>
      </c>
      <c r="AK1151" s="245" t="s">
        <v>990</v>
      </c>
      <c r="AL1151" s="245" t="s">
        <v>931</v>
      </c>
      <c r="AM1151" s="246" t="s">
        <v>931</v>
      </c>
      <c r="AN1151" s="235">
        <v>627</v>
      </c>
      <c r="AO1151" s="247" t="s">
        <v>2379</v>
      </c>
      <c r="AP1151" s="247">
        <v>995</v>
      </c>
      <c r="AQ1151" s="247">
        <v>27</v>
      </c>
      <c r="AR1151" s="247">
        <v>23</v>
      </c>
      <c r="AS1151" s="247">
        <v>25.1</v>
      </c>
      <c r="AT1151" s="247">
        <v>40</v>
      </c>
      <c r="AU1151" s="247" t="s">
        <v>934</v>
      </c>
      <c r="AV1151" s="247" t="s">
        <v>958</v>
      </c>
      <c r="AW1151" s="247" t="s">
        <v>931</v>
      </c>
      <c r="AX1151" s="247" t="s">
        <v>931</v>
      </c>
      <c r="AY1151" s="247">
        <v>89</v>
      </c>
      <c r="AZ1151" s="247" t="s">
        <v>959</v>
      </c>
      <c r="BA1151" s="248">
        <v>2</v>
      </c>
      <c r="BB1151" s="235"/>
      <c r="BC1151" s="247" t="s">
        <v>2378</v>
      </c>
      <c r="BD1151" s="247"/>
      <c r="BE1151" s="247"/>
      <c r="BF1151" s="247"/>
      <c r="BG1151" s="247"/>
      <c r="BH1151" s="247"/>
      <c r="BI1151" s="247"/>
      <c r="BJ1151" s="247"/>
      <c r="BK1151" s="247"/>
      <c r="BL1151" s="247"/>
      <c r="BM1151" s="247"/>
      <c r="BN1151" s="247"/>
      <c r="BO1151" s="247"/>
      <c r="BP1151" s="248"/>
    </row>
    <row r="1152" spans="1:68" ht="14.25" customHeight="1">
      <c r="A1152" s="233">
        <v>495</v>
      </c>
      <c r="B1152" s="234">
        <v>433</v>
      </c>
      <c r="C1152" s="244" t="s">
        <v>928</v>
      </c>
      <c r="D1152" s="244" t="s">
        <v>969</v>
      </c>
      <c r="E1152" s="244" t="s">
        <v>2380</v>
      </c>
      <c r="F1152" s="245">
        <v>-33.700000000000003</v>
      </c>
      <c r="G1152" s="245">
        <v>-30.1</v>
      </c>
      <c r="H1152" s="245">
        <v>-19.3</v>
      </c>
      <c r="I1152" s="245">
        <v>-6</v>
      </c>
      <c r="J1152" s="245">
        <v>5.6</v>
      </c>
      <c r="K1152" s="245">
        <v>14.6</v>
      </c>
      <c r="L1152" s="245">
        <v>17.7</v>
      </c>
      <c r="M1152" s="245">
        <v>13.9</v>
      </c>
      <c r="N1152" s="245">
        <v>5.6</v>
      </c>
      <c r="O1152" s="245">
        <v>-6.1</v>
      </c>
      <c r="P1152" s="245">
        <v>-24.1</v>
      </c>
      <c r="Q1152" s="245">
        <v>-32.200000000000003</v>
      </c>
      <c r="R1152" s="246">
        <v>-7.8</v>
      </c>
      <c r="S1152" s="233">
        <v>433</v>
      </c>
      <c r="T1152" s="247" t="s">
        <v>2380</v>
      </c>
      <c r="U1152" s="245">
        <v>-56</v>
      </c>
      <c r="V1152" s="245">
        <v>-54</v>
      </c>
      <c r="W1152" s="245">
        <v>-53</v>
      </c>
      <c r="X1152" s="245">
        <v>-51</v>
      </c>
      <c r="Y1152" s="245">
        <v>-39</v>
      </c>
      <c r="Z1152" s="245">
        <v>-60</v>
      </c>
      <c r="AA1152" s="245">
        <v>11.8</v>
      </c>
      <c r="AB1152" s="245">
        <v>213</v>
      </c>
      <c r="AC1152" s="245">
        <v>-21</v>
      </c>
      <c r="AD1152" s="245">
        <v>260</v>
      </c>
      <c r="AE1152" s="245">
        <v>-16.5</v>
      </c>
      <c r="AF1152" s="245">
        <v>274</v>
      </c>
      <c r="AG1152" s="245">
        <v>-15.2</v>
      </c>
      <c r="AH1152" s="245">
        <v>76</v>
      </c>
      <c r="AI1152" s="245">
        <v>73</v>
      </c>
      <c r="AJ1152" s="245">
        <v>69</v>
      </c>
      <c r="AK1152" s="245" t="s">
        <v>971</v>
      </c>
      <c r="AL1152" s="245">
        <v>3.3</v>
      </c>
      <c r="AM1152" s="246">
        <v>2</v>
      </c>
      <c r="AN1152" s="235">
        <v>433</v>
      </c>
      <c r="AO1152" s="247" t="s">
        <v>2381</v>
      </c>
      <c r="AP1152" s="247">
        <v>990</v>
      </c>
      <c r="AQ1152" s="247">
        <v>21.5</v>
      </c>
      <c r="AR1152" s="247">
        <v>26</v>
      </c>
      <c r="AS1152" s="247">
        <v>24.7</v>
      </c>
      <c r="AT1152" s="247">
        <v>36</v>
      </c>
      <c r="AU1152" s="247">
        <v>14.5</v>
      </c>
      <c r="AV1152" s="247">
        <v>65</v>
      </c>
      <c r="AW1152" s="247">
        <v>52</v>
      </c>
      <c r="AX1152" s="247">
        <v>215</v>
      </c>
      <c r="AY1152" s="247">
        <v>81</v>
      </c>
      <c r="AZ1152" s="247" t="s">
        <v>1005</v>
      </c>
      <c r="BA1152" s="248">
        <v>0</v>
      </c>
      <c r="BB1152" s="235">
        <v>396</v>
      </c>
      <c r="BC1152" s="247" t="s">
        <v>2380</v>
      </c>
      <c r="BD1152" s="247">
        <v>0.4</v>
      </c>
      <c r="BE1152" s="247">
        <v>0.6</v>
      </c>
      <c r="BF1152" s="247">
        <v>1.1000000000000001</v>
      </c>
      <c r="BG1152" s="247">
        <v>2.5</v>
      </c>
      <c r="BH1152" s="247">
        <v>4.7</v>
      </c>
      <c r="BI1152" s="247">
        <v>9.4</v>
      </c>
      <c r="BJ1152" s="247">
        <v>12.8</v>
      </c>
      <c r="BK1152" s="247">
        <v>11.1</v>
      </c>
      <c r="BL1152" s="247">
        <v>6.6</v>
      </c>
      <c r="BM1152" s="247">
        <v>3.3</v>
      </c>
      <c r="BN1152" s="247">
        <v>1</v>
      </c>
      <c r="BO1152" s="247">
        <v>0.5</v>
      </c>
      <c r="BP1152" s="248">
        <v>4.5</v>
      </c>
    </row>
    <row r="1153" spans="1:68" ht="14.25" customHeight="1">
      <c r="A1153" s="233">
        <v>496</v>
      </c>
      <c r="B1153" s="234">
        <v>333</v>
      </c>
      <c r="C1153" s="244" t="s">
        <v>928</v>
      </c>
      <c r="D1153" s="244" t="s">
        <v>1161</v>
      </c>
      <c r="E1153" s="244" t="s">
        <v>2382</v>
      </c>
      <c r="F1153" s="245">
        <v>-22</v>
      </c>
      <c r="G1153" s="245">
        <v>-19.600000000000001</v>
      </c>
      <c r="H1153" s="245">
        <v>-13.3</v>
      </c>
      <c r="I1153" s="245">
        <v>-3.5</v>
      </c>
      <c r="J1153" s="245">
        <v>4.0999999999999996</v>
      </c>
      <c r="K1153" s="245">
        <v>13</v>
      </c>
      <c r="L1153" s="245">
        <v>16.899999999999999</v>
      </c>
      <c r="M1153" s="245">
        <v>14</v>
      </c>
      <c r="N1153" s="245">
        <v>7.8</v>
      </c>
      <c r="O1153" s="245">
        <v>-1.4</v>
      </c>
      <c r="P1153" s="245">
        <v>-13.2</v>
      </c>
      <c r="Q1153" s="245">
        <v>-20.3</v>
      </c>
      <c r="R1153" s="246">
        <v>-3.4</v>
      </c>
      <c r="S1153" s="233">
        <v>333</v>
      </c>
      <c r="T1153" s="247" t="s">
        <v>2383</v>
      </c>
      <c r="U1153" s="245">
        <v>-48</v>
      </c>
      <c r="V1153" s="245">
        <v>-47</v>
      </c>
      <c r="W1153" s="245">
        <v>-45</v>
      </c>
      <c r="X1153" s="245">
        <v>-43</v>
      </c>
      <c r="Y1153" s="245">
        <v>-27</v>
      </c>
      <c r="Z1153" s="245">
        <v>-55</v>
      </c>
      <c r="AA1153" s="245">
        <v>9.6999999999999993</v>
      </c>
      <c r="AB1153" s="245">
        <v>200</v>
      </c>
      <c r="AC1153" s="245">
        <v>-13.8</v>
      </c>
      <c r="AD1153" s="245">
        <v>257</v>
      </c>
      <c r="AE1153" s="245">
        <v>-9.9</v>
      </c>
      <c r="AF1153" s="245">
        <v>274</v>
      </c>
      <c r="AG1153" s="245">
        <v>-8.8000000000000007</v>
      </c>
      <c r="AH1153" s="245">
        <v>79</v>
      </c>
      <c r="AI1153" s="245">
        <v>78</v>
      </c>
      <c r="AJ1153" s="245">
        <v>209</v>
      </c>
      <c r="AK1153" s="245" t="s">
        <v>971</v>
      </c>
      <c r="AL1153" s="245">
        <v>5.3</v>
      </c>
      <c r="AM1153" s="246">
        <v>5</v>
      </c>
      <c r="AN1153" s="235">
        <v>333</v>
      </c>
      <c r="AO1153" s="247" t="s">
        <v>2384</v>
      </c>
      <c r="AP1153" s="247">
        <v>1005</v>
      </c>
      <c r="AQ1153" s="247">
        <v>19.8</v>
      </c>
      <c r="AR1153" s="247">
        <v>23.6</v>
      </c>
      <c r="AS1153" s="247">
        <v>21.7</v>
      </c>
      <c r="AT1153" s="247">
        <v>34</v>
      </c>
      <c r="AU1153" s="247">
        <v>9.6999999999999993</v>
      </c>
      <c r="AV1153" s="247">
        <v>70</v>
      </c>
      <c r="AW1153" s="247">
        <v>59</v>
      </c>
      <c r="AX1153" s="247">
        <v>467</v>
      </c>
      <c r="AY1153" s="247">
        <v>68</v>
      </c>
      <c r="AZ1153" s="247" t="s">
        <v>1005</v>
      </c>
      <c r="BA1153" s="248">
        <v>4.5</v>
      </c>
      <c r="BB1153" s="235">
        <v>301</v>
      </c>
      <c r="BC1153" s="247" t="s">
        <v>2382</v>
      </c>
      <c r="BD1153" s="247">
        <v>1.2</v>
      </c>
      <c r="BE1153" s="247">
        <v>1.3</v>
      </c>
      <c r="BF1153" s="247">
        <v>1.9</v>
      </c>
      <c r="BG1153" s="247">
        <v>3.9</v>
      </c>
      <c r="BH1153" s="247">
        <v>6</v>
      </c>
      <c r="BI1153" s="247">
        <v>10.5</v>
      </c>
      <c r="BJ1153" s="247">
        <v>13.6</v>
      </c>
      <c r="BK1153" s="247">
        <v>12.7</v>
      </c>
      <c r="BL1153" s="247">
        <v>8.9</v>
      </c>
      <c r="BM1153" s="247">
        <v>5</v>
      </c>
      <c r="BN1153" s="247">
        <v>2.4</v>
      </c>
      <c r="BO1153" s="247">
        <v>1.4</v>
      </c>
      <c r="BP1153" s="248">
        <v>5.7</v>
      </c>
    </row>
    <row r="1154" spans="1:68" ht="14.25" customHeight="1">
      <c r="A1154" s="233">
        <v>497</v>
      </c>
      <c r="B1154" s="234">
        <v>343</v>
      </c>
      <c r="C1154" s="244" t="s">
        <v>928</v>
      </c>
      <c r="D1154" s="244" t="s">
        <v>2385</v>
      </c>
      <c r="E1154" s="244" t="s">
        <v>2386</v>
      </c>
      <c r="F1154" s="245">
        <v>-13.2</v>
      </c>
      <c r="G1154" s="245">
        <v>-12.5</v>
      </c>
      <c r="H1154" s="245">
        <v>-6.1</v>
      </c>
      <c r="I1154" s="245">
        <v>4.8</v>
      </c>
      <c r="J1154" s="245">
        <v>13</v>
      </c>
      <c r="K1154" s="245">
        <v>17.100000000000001</v>
      </c>
      <c r="L1154" s="245">
        <v>18.7</v>
      </c>
      <c r="M1154" s="245">
        <v>17.2</v>
      </c>
      <c r="N1154" s="245">
        <v>11.3</v>
      </c>
      <c r="O1154" s="245">
        <v>3.6</v>
      </c>
      <c r="P1154" s="245">
        <v>-3.1</v>
      </c>
      <c r="Q1154" s="245">
        <v>-8.9</v>
      </c>
      <c r="R1154" s="246">
        <v>3.5</v>
      </c>
      <c r="S1154" s="233">
        <v>343</v>
      </c>
      <c r="T1154" s="247" t="s">
        <v>2387</v>
      </c>
      <c r="U1154" s="245">
        <v>-39</v>
      </c>
      <c r="V1154" s="245">
        <v>-36</v>
      </c>
      <c r="W1154" s="245">
        <v>-36</v>
      </c>
      <c r="X1154" s="245">
        <v>-31</v>
      </c>
      <c r="Y1154" s="245">
        <v>-18</v>
      </c>
      <c r="Z1154" s="245">
        <v>-46</v>
      </c>
      <c r="AA1154" s="245">
        <v>9.3000000000000007</v>
      </c>
      <c r="AB1154" s="245">
        <v>152</v>
      </c>
      <c r="AC1154" s="245">
        <v>-8.1999999999999993</v>
      </c>
      <c r="AD1154" s="245">
        <v>211</v>
      </c>
      <c r="AE1154" s="245">
        <v>-4.8</v>
      </c>
      <c r="AF1154" s="245">
        <v>226</v>
      </c>
      <c r="AG1154" s="245">
        <v>-3.9</v>
      </c>
      <c r="AH1154" s="245">
        <v>81</v>
      </c>
      <c r="AI1154" s="245">
        <v>80</v>
      </c>
      <c r="AJ1154" s="245">
        <v>140</v>
      </c>
      <c r="AK1154" s="245" t="s">
        <v>971</v>
      </c>
      <c r="AL1154" s="245" t="s">
        <v>931</v>
      </c>
      <c r="AM1154" s="246">
        <v>3.4</v>
      </c>
      <c r="AN1154" s="235">
        <v>343</v>
      </c>
      <c r="AO1154" s="247" t="s">
        <v>2388</v>
      </c>
      <c r="AP1154" s="247">
        <v>1000</v>
      </c>
      <c r="AQ1154" s="247">
        <v>22.7</v>
      </c>
      <c r="AR1154" s="247">
        <v>26.8</v>
      </c>
      <c r="AS1154" s="247">
        <v>25.1</v>
      </c>
      <c r="AT1154" s="247">
        <v>38</v>
      </c>
      <c r="AU1154" s="247">
        <v>12.7</v>
      </c>
      <c r="AV1154" s="247">
        <v>71</v>
      </c>
      <c r="AW1154" s="247">
        <v>53</v>
      </c>
      <c r="AX1154" s="247">
        <v>344</v>
      </c>
      <c r="AY1154" s="247">
        <v>86</v>
      </c>
      <c r="AZ1154" s="247" t="s">
        <v>952</v>
      </c>
      <c r="BA1154" s="248" t="s">
        <v>934</v>
      </c>
      <c r="BB1154" s="235">
        <v>309</v>
      </c>
      <c r="BC1154" s="247" t="s">
        <v>2386</v>
      </c>
      <c r="BD1154" s="247">
        <v>2.2999999999999998</v>
      </c>
      <c r="BE1154" s="247">
        <v>2.4</v>
      </c>
      <c r="BF1154" s="247">
        <v>3.5</v>
      </c>
      <c r="BG1154" s="247">
        <v>6.3</v>
      </c>
      <c r="BH1154" s="247">
        <v>8.9</v>
      </c>
      <c r="BI1154" s="247">
        <v>12.4</v>
      </c>
      <c r="BJ1154" s="247">
        <v>15</v>
      </c>
      <c r="BK1154" s="247">
        <v>13.7</v>
      </c>
      <c r="BL1154" s="247">
        <v>9.9</v>
      </c>
      <c r="BM1154" s="247">
        <v>6.5</v>
      </c>
      <c r="BN1154" s="247">
        <v>4.5999999999999996</v>
      </c>
      <c r="BO1154" s="247">
        <v>3.2</v>
      </c>
      <c r="BP1154" s="248">
        <v>7.4</v>
      </c>
    </row>
    <row r="1155" spans="1:68" ht="14.25" customHeight="1">
      <c r="A1155" s="233">
        <v>498</v>
      </c>
      <c r="B1155" s="234">
        <v>543</v>
      </c>
      <c r="C1155" s="244" t="s">
        <v>1180</v>
      </c>
      <c r="D1155" s="244" t="s">
        <v>1785</v>
      </c>
      <c r="E1155" s="244" t="s">
        <v>2389</v>
      </c>
      <c r="F1155" s="245">
        <v>-21.5</v>
      </c>
      <c r="G1155" s="245">
        <v>-19.399999999999999</v>
      </c>
      <c r="H1155" s="245">
        <v>-11.7</v>
      </c>
      <c r="I1155" s="245">
        <v>-0.9</v>
      </c>
      <c r="J1155" s="245">
        <v>8</v>
      </c>
      <c r="K1155" s="245">
        <v>10.7</v>
      </c>
      <c r="L1155" s="245">
        <v>13.1</v>
      </c>
      <c r="M1155" s="245">
        <v>12.7</v>
      </c>
      <c r="N1155" s="245">
        <v>8.1999999999999993</v>
      </c>
      <c r="O1155" s="245">
        <v>1.3</v>
      </c>
      <c r="P1155" s="245">
        <v>-10.5</v>
      </c>
      <c r="Q1155" s="245">
        <v>-19.2</v>
      </c>
      <c r="R1155" s="246">
        <v>-2.4</v>
      </c>
      <c r="S1155" s="233">
        <v>543</v>
      </c>
      <c r="T1155" s="247" t="s">
        <v>2389</v>
      </c>
      <c r="U1155" s="245">
        <v>-42</v>
      </c>
      <c r="V1155" s="245">
        <v>-40</v>
      </c>
      <c r="W1155" s="245">
        <v>-40</v>
      </c>
      <c r="X1155" s="245">
        <v>-36</v>
      </c>
      <c r="Y1155" s="245" t="s">
        <v>956</v>
      </c>
      <c r="Z1155" s="245" t="s">
        <v>931</v>
      </c>
      <c r="AA1155" s="245">
        <v>13.1</v>
      </c>
      <c r="AB1155" s="245" t="s">
        <v>1018</v>
      </c>
      <c r="AC1155" s="245" t="s">
        <v>958</v>
      </c>
      <c r="AD1155" s="245" t="s">
        <v>1018</v>
      </c>
      <c r="AE1155" s="245" t="s">
        <v>931</v>
      </c>
      <c r="AF1155" s="245" t="s">
        <v>933</v>
      </c>
      <c r="AG1155" s="245" t="s">
        <v>931</v>
      </c>
      <c r="AH1155" s="245">
        <v>82</v>
      </c>
      <c r="AI1155" s="245">
        <v>76</v>
      </c>
      <c r="AJ1155" s="245">
        <v>113</v>
      </c>
      <c r="AK1155" s="245" t="s">
        <v>971</v>
      </c>
      <c r="AL1155" s="245">
        <v>0.7</v>
      </c>
      <c r="AM1155" s="246" t="s">
        <v>931</v>
      </c>
      <c r="AN1155" s="235">
        <v>543</v>
      </c>
      <c r="AO1155" s="247" t="s">
        <v>2390</v>
      </c>
      <c r="AP1155" s="247" t="s">
        <v>965</v>
      </c>
      <c r="AQ1155" s="247" t="s">
        <v>958</v>
      </c>
      <c r="AR1155" s="247" t="s">
        <v>931</v>
      </c>
      <c r="AS1155" s="247" t="s">
        <v>958</v>
      </c>
      <c r="AT1155" s="247">
        <v>33</v>
      </c>
      <c r="AU1155" s="247">
        <v>20.7</v>
      </c>
      <c r="AV1155" s="247">
        <v>63</v>
      </c>
      <c r="AW1155" s="247">
        <v>35</v>
      </c>
      <c r="AX1155" s="247">
        <v>290</v>
      </c>
      <c r="AY1155" s="247">
        <v>38</v>
      </c>
      <c r="AZ1155" s="247" t="s">
        <v>978</v>
      </c>
      <c r="BA1155" s="248">
        <v>1.1000000000000001</v>
      </c>
      <c r="BB1155" s="235"/>
      <c r="BC1155" s="247" t="s">
        <v>2389</v>
      </c>
      <c r="BD1155" s="247"/>
      <c r="BE1155" s="247"/>
      <c r="BF1155" s="247"/>
      <c r="BG1155" s="247"/>
      <c r="BH1155" s="247"/>
      <c r="BI1155" s="247"/>
      <c r="BJ1155" s="247"/>
      <c r="BK1155" s="247"/>
      <c r="BL1155" s="247"/>
      <c r="BM1155" s="247"/>
      <c r="BN1155" s="247"/>
      <c r="BO1155" s="247"/>
      <c r="BP1155" s="248"/>
    </row>
    <row r="1156" spans="1:68" ht="14.25" customHeight="1">
      <c r="A1156" s="233">
        <v>499</v>
      </c>
      <c r="B1156" s="234">
        <v>207</v>
      </c>
      <c r="C1156" s="244" t="s">
        <v>928</v>
      </c>
      <c r="D1156" s="244" t="s">
        <v>1039</v>
      </c>
      <c r="E1156" s="244" t="s">
        <v>2391</v>
      </c>
      <c r="F1156" s="245">
        <v>-38.200000000000003</v>
      </c>
      <c r="G1156" s="245">
        <v>-34.5</v>
      </c>
      <c r="H1156" s="245">
        <v>-27.2</v>
      </c>
      <c r="I1156" s="245">
        <v>-13.3</v>
      </c>
      <c r="J1156" s="245">
        <v>1.6</v>
      </c>
      <c r="K1156" s="245">
        <v>10.8</v>
      </c>
      <c r="L1156" s="245">
        <v>13.3</v>
      </c>
      <c r="M1156" s="245">
        <v>10.199999999999999</v>
      </c>
      <c r="N1156" s="245">
        <v>2.1</v>
      </c>
      <c r="O1156" s="245">
        <v>-14.9</v>
      </c>
      <c r="P1156" s="245">
        <v>-31.2</v>
      </c>
      <c r="Q1156" s="245">
        <v>-37.5</v>
      </c>
      <c r="R1156" s="246">
        <v>-13.2</v>
      </c>
      <c r="S1156" s="233">
        <v>207</v>
      </c>
      <c r="T1156" s="247" t="s">
        <v>2392</v>
      </c>
      <c r="U1156" s="245">
        <v>-59</v>
      </c>
      <c r="V1156" s="245">
        <v>-57</v>
      </c>
      <c r="W1156" s="245">
        <v>-58</v>
      </c>
      <c r="X1156" s="245">
        <v>-55</v>
      </c>
      <c r="Y1156" s="245">
        <v>-43</v>
      </c>
      <c r="Z1156" s="245">
        <v>-61</v>
      </c>
      <c r="AA1156" s="245">
        <v>9.1999999999999993</v>
      </c>
      <c r="AB1156" s="245">
        <v>236</v>
      </c>
      <c r="AC1156" s="245">
        <v>-25.1</v>
      </c>
      <c r="AD1156" s="245">
        <v>286</v>
      </c>
      <c r="AE1156" s="245">
        <v>-19.899999999999999</v>
      </c>
      <c r="AF1156" s="245">
        <v>300</v>
      </c>
      <c r="AG1156" s="245">
        <v>-18.5</v>
      </c>
      <c r="AH1156" s="245">
        <v>73</v>
      </c>
      <c r="AI1156" s="245">
        <v>73</v>
      </c>
      <c r="AJ1156" s="245">
        <v>50</v>
      </c>
      <c r="AK1156" s="245" t="s">
        <v>938</v>
      </c>
      <c r="AL1156" s="245">
        <v>4.4000000000000004</v>
      </c>
      <c r="AM1156" s="246">
        <v>2</v>
      </c>
      <c r="AN1156" s="235">
        <v>207</v>
      </c>
      <c r="AO1156" s="247" t="s">
        <v>2393</v>
      </c>
      <c r="AP1156" s="247">
        <v>945</v>
      </c>
      <c r="AQ1156" s="247">
        <v>18.2</v>
      </c>
      <c r="AR1156" s="247">
        <v>22.6</v>
      </c>
      <c r="AS1156" s="247">
        <v>20.6</v>
      </c>
      <c r="AT1156" s="247">
        <v>32</v>
      </c>
      <c r="AU1156" s="247">
        <v>14.6</v>
      </c>
      <c r="AV1156" s="247">
        <v>68</v>
      </c>
      <c r="AW1156" s="247">
        <v>52</v>
      </c>
      <c r="AX1156" s="247">
        <v>233</v>
      </c>
      <c r="AY1156" s="247">
        <v>36</v>
      </c>
      <c r="AZ1156" s="247" t="s">
        <v>940</v>
      </c>
      <c r="BA1156" s="248">
        <v>0</v>
      </c>
      <c r="BB1156" s="235">
        <v>182</v>
      </c>
      <c r="BC1156" s="247" t="s">
        <v>2391</v>
      </c>
      <c r="BD1156" s="247">
        <v>0.3</v>
      </c>
      <c r="BE1156" s="247">
        <v>0.4</v>
      </c>
      <c r="BF1156" s="247">
        <v>0.6</v>
      </c>
      <c r="BG1156" s="247">
        <v>1.8</v>
      </c>
      <c r="BH1156" s="247">
        <v>4.3</v>
      </c>
      <c r="BI1156" s="247">
        <v>7.8</v>
      </c>
      <c r="BJ1156" s="247">
        <v>10.1</v>
      </c>
      <c r="BK1156" s="247">
        <v>8.8000000000000007</v>
      </c>
      <c r="BL1156" s="247">
        <v>5.3</v>
      </c>
      <c r="BM1156" s="247">
        <v>1.9</v>
      </c>
      <c r="BN1156" s="247">
        <v>0.5</v>
      </c>
      <c r="BO1156" s="247">
        <v>0.3</v>
      </c>
      <c r="BP1156" s="248">
        <v>3.5</v>
      </c>
    </row>
    <row r="1157" spans="1:68" ht="14.25" customHeight="1">
      <c r="A1157" s="233">
        <v>500</v>
      </c>
      <c r="B1157" s="234">
        <v>434</v>
      </c>
      <c r="C1157" s="244" t="s">
        <v>928</v>
      </c>
      <c r="D1157" s="244" t="s">
        <v>969</v>
      </c>
      <c r="E1157" s="244" t="s">
        <v>2394</v>
      </c>
      <c r="F1157" s="245">
        <v>-42.5</v>
      </c>
      <c r="G1157" s="245">
        <v>-38.299999999999997</v>
      </c>
      <c r="H1157" s="245">
        <v>-26.5</v>
      </c>
      <c r="I1157" s="245">
        <v>-13</v>
      </c>
      <c r="J1157" s="245">
        <v>-0.5</v>
      </c>
      <c r="K1157" s="245">
        <v>11.1</v>
      </c>
      <c r="L1157" s="245">
        <v>14.7</v>
      </c>
      <c r="M1157" s="245">
        <v>10.3</v>
      </c>
      <c r="N1157" s="245">
        <v>2.4</v>
      </c>
      <c r="O1157" s="245">
        <v>-11.6</v>
      </c>
      <c r="P1157" s="245">
        <v>-32.200000000000003</v>
      </c>
      <c r="Q1157" s="245">
        <v>-38.799999999999997</v>
      </c>
      <c r="R1157" s="246">
        <v>-13.7</v>
      </c>
      <c r="S1157" s="233">
        <v>434</v>
      </c>
      <c r="T1157" s="247" t="s">
        <v>2394</v>
      </c>
      <c r="U1157" s="245">
        <v>-60</v>
      </c>
      <c r="V1157" s="245">
        <v>-59</v>
      </c>
      <c r="W1157" s="245">
        <v>-59</v>
      </c>
      <c r="X1157" s="245">
        <v>-57</v>
      </c>
      <c r="Y1157" s="245">
        <v>-48</v>
      </c>
      <c r="Z1157" s="245">
        <v>-64</v>
      </c>
      <c r="AA1157" s="245">
        <v>9.3000000000000007</v>
      </c>
      <c r="AB1157" s="245">
        <v>239</v>
      </c>
      <c r="AC1157" s="245">
        <v>-25.6</v>
      </c>
      <c r="AD1157" s="245">
        <v>286</v>
      </c>
      <c r="AE1157" s="245">
        <v>-20.6</v>
      </c>
      <c r="AF1157" s="245">
        <v>299</v>
      </c>
      <c r="AG1157" s="245">
        <v>-19.3</v>
      </c>
      <c r="AH1157" s="245">
        <v>72</v>
      </c>
      <c r="AI1157" s="245">
        <v>72</v>
      </c>
      <c r="AJ1157" s="245">
        <v>58</v>
      </c>
      <c r="AK1157" s="245" t="s">
        <v>971</v>
      </c>
      <c r="AL1157" s="245">
        <v>4</v>
      </c>
      <c r="AM1157" s="246">
        <v>1.4</v>
      </c>
      <c r="AN1157" s="235">
        <v>434</v>
      </c>
      <c r="AO1157" s="247" t="s">
        <v>2395</v>
      </c>
      <c r="AP1157" s="247">
        <v>1000</v>
      </c>
      <c r="AQ1157" s="247">
        <v>18.7</v>
      </c>
      <c r="AR1157" s="247">
        <v>23</v>
      </c>
      <c r="AS1157" s="247">
        <v>21.1</v>
      </c>
      <c r="AT1157" s="247">
        <v>34</v>
      </c>
      <c r="AU1157" s="247">
        <v>13.1</v>
      </c>
      <c r="AV1157" s="247">
        <v>63</v>
      </c>
      <c r="AW1157" s="247">
        <v>50</v>
      </c>
      <c r="AX1157" s="247">
        <v>216</v>
      </c>
      <c r="AY1157" s="247">
        <v>56</v>
      </c>
      <c r="AZ1157" s="247" t="s">
        <v>1005</v>
      </c>
      <c r="BA1157" s="248">
        <v>0</v>
      </c>
      <c r="BB1157" s="235">
        <v>397</v>
      </c>
      <c r="BC1157" s="247" t="s">
        <v>2394</v>
      </c>
      <c r="BD1157" s="247">
        <v>0.2</v>
      </c>
      <c r="BE1157" s="247">
        <v>0.3</v>
      </c>
      <c r="BF1157" s="247">
        <v>0.7</v>
      </c>
      <c r="BG1157" s="247">
        <v>1.7</v>
      </c>
      <c r="BH1157" s="247">
        <v>3.7</v>
      </c>
      <c r="BI1157" s="247">
        <v>7.5</v>
      </c>
      <c r="BJ1157" s="247">
        <v>10.3</v>
      </c>
      <c r="BK1157" s="247">
        <v>8.8000000000000007</v>
      </c>
      <c r="BL1157" s="247">
        <v>5.6</v>
      </c>
      <c r="BM1157" s="247">
        <v>2.5</v>
      </c>
      <c r="BN1157" s="247">
        <v>0.5</v>
      </c>
      <c r="BO1157" s="247">
        <v>0.3</v>
      </c>
      <c r="BP1157" s="248">
        <v>3.5</v>
      </c>
    </row>
    <row r="1158" spans="1:68" ht="14.25" customHeight="1">
      <c r="A1158" s="233">
        <v>501</v>
      </c>
      <c r="B1158" s="234">
        <v>493</v>
      </c>
      <c r="C1158" s="244" t="s">
        <v>1396</v>
      </c>
      <c r="D1158" s="244" t="s">
        <v>1396</v>
      </c>
      <c r="E1158" s="244" t="s">
        <v>2396</v>
      </c>
      <c r="F1158" s="245">
        <v>5.9</v>
      </c>
      <c r="G1158" s="245">
        <v>6.7</v>
      </c>
      <c r="H1158" s="245">
        <v>8.8000000000000007</v>
      </c>
      <c r="I1158" s="245">
        <v>12.9</v>
      </c>
      <c r="J1158" s="245">
        <v>16.7</v>
      </c>
      <c r="K1158" s="245">
        <v>20.7</v>
      </c>
      <c r="L1158" s="245">
        <v>22.7</v>
      </c>
      <c r="M1158" s="245">
        <v>22.8</v>
      </c>
      <c r="N1158" s="245">
        <v>19.899999999999999</v>
      </c>
      <c r="O1158" s="245">
        <v>15.6</v>
      </c>
      <c r="P1158" s="245">
        <v>11.8</v>
      </c>
      <c r="Q1158" s="245">
        <v>8</v>
      </c>
      <c r="R1158" s="246">
        <v>14.4</v>
      </c>
      <c r="S1158" s="233">
        <v>493</v>
      </c>
      <c r="T1158" s="247" t="s">
        <v>2397</v>
      </c>
      <c r="U1158" s="245">
        <v>-5</v>
      </c>
      <c r="V1158" s="245">
        <v>-4</v>
      </c>
      <c r="W1158" s="245">
        <v>-3</v>
      </c>
      <c r="X1158" s="245">
        <v>-2</v>
      </c>
      <c r="Y1158" s="245">
        <v>0</v>
      </c>
      <c r="Z1158" s="245">
        <v>-12</v>
      </c>
      <c r="AA1158" s="245">
        <v>6.5</v>
      </c>
      <c r="AB1158" s="245">
        <v>0</v>
      </c>
      <c r="AC1158" s="245" t="s">
        <v>830</v>
      </c>
      <c r="AD1158" s="245">
        <v>79</v>
      </c>
      <c r="AE1158" s="245">
        <v>6.4</v>
      </c>
      <c r="AF1158" s="245">
        <v>115</v>
      </c>
      <c r="AG1158" s="245">
        <v>7.3</v>
      </c>
      <c r="AH1158" s="245" t="s">
        <v>956</v>
      </c>
      <c r="AI1158" s="245">
        <v>65</v>
      </c>
      <c r="AJ1158" s="245">
        <v>679</v>
      </c>
      <c r="AK1158" s="245" t="s">
        <v>938</v>
      </c>
      <c r="AL1158" s="245" t="s">
        <v>931</v>
      </c>
      <c r="AM1158" s="246">
        <v>3</v>
      </c>
      <c r="AN1158" s="235">
        <v>493</v>
      </c>
      <c r="AO1158" s="247" t="s">
        <v>2398</v>
      </c>
      <c r="AP1158" s="247">
        <v>1000</v>
      </c>
      <c r="AQ1158" s="247">
        <v>32</v>
      </c>
      <c r="AR1158" s="247">
        <v>25</v>
      </c>
      <c r="AS1158" s="247">
        <v>30.1</v>
      </c>
      <c r="AT1158" s="247">
        <v>40</v>
      </c>
      <c r="AU1158" s="247">
        <v>7.5</v>
      </c>
      <c r="AV1158" s="247">
        <v>77</v>
      </c>
      <c r="AW1158" s="247">
        <v>67</v>
      </c>
      <c r="AX1158" s="247" t="s">
        <v>931</v>
      </c>
      <c r="AY1158" s="247">
        <v>169</v>
      </c>
      <c r="AZ1158" s="247" t="s">
        <v>952</v>
      </c>
      <c r="BA1158" s="248">
        <v>1</v>
      </c>
      <c r="BB1158" s="235"/>
      <c r="BC1158" s="247" t="s">
        <v>2397</v>
      </c>
      <c r="BD1158" s="247"/>
      <c r="BE1158" s="247"/>
      <c r="BF1158" s="247"/>
      <c r="BG1158" s="247"/>
      <c r="BH1158" s="247"/>
      <c r="BI1158" s="247"/>
      <c r="BJ1158" s="247"/>
      <c r="BK1158" s="247"/>
      <c r="BL1158" s="247"/>
      <c r="BM1158" s="247"/>
      <c r="BN1158" s="247"/>
      <c r="BO1158" s="247"/>
      <c r="BP1158" s="248"/>
    </row>
    <row r="1159" spans="1:68" ht="14.25" customHeight="1">
      <c r="A1159" s="233">
        <v>502</v>
      </c>
      <c r="B1159" s="234">
        <v>155</v>
      </c>
      <c r="C1159" s="244" t="s">
        <v>928</v>
      </c>
      <c r="D1159" s="244" t="s">
        <v>1273</v>
      </c>
      <c r="E1159" s="244" t="s">
        <v>2399</v>
      </c>
      <c r="F1159" s="245">
        <v>-15.6</v>
      </c>
      <c r="G1159" s="245">
        <v>-14.1</v>
      </c>
      <c r="H1159" s="245">
        <v>-7.7</v>
      </c>
      <c r="I1159" s="245">
        <v>1</v>
      </c>
      <c r="J1159" s="245">
        <v>7.6</v>
      </c>
      <c r="K1159" s="245">
        <v>14</v>
      </c>
      <c r="L1159" s="245">
        <v>16.7</v>
      </c>
      <c r="M1159" s="245">
        <v>14</v>
      </c>
      <c r="N1159" s="245">
        <v>7.8</v>
      </c>
      <c r="O1159" s="245">
        <v>0.3</v>
      </c>
      <c r="P1159" s="245">
        <v>-6.7</v>
      </c>
      <c r="Q1159" s="245">
        <v>-12.9</v>
      </c>
      <c r="R1159" s="246">
        <v>0.4</v>
      </c>
      <c r="S1159" s="233">
        <v>155</v>
      </c>
      <c r="T1159" s="247" t="s">
        <v>2400</v>
      </c>
      <c r="U1159" s="245">
        <v>-42</v>
      </c>
      <c r="V1159" s="245">
        <v>-41</v>
      </c>
      <c r="W1159" s="245">
        <v>-39</v>
      </c>
      <c r="X1159" s="245">
        <v>-36</v>
      </c>
      <c r="Y1159" s="245">
        <v>-20</v>
      </c>
      <c r="Z1159" s="245">
        <v>-47</v>
      </c>
      <c r="AA1159" s="245">
        <v>7.8</v>
      </c>
      <c r="AB1159" s="245">
        <v>177</v>
      </c>
      <c r="AC1159" s="245">
        <v>-9.6</v>
      </c>
      <c r="AD1159" s="245">
        <v>245</v>
      </c>
      <c r="AE1159" s="245">
        <v>-5.8</v>
      </c>
      <c r="AF1159" s="245">
        <v>265</v>
      </c>
      <c r="AG1159" s="245">
        <v>-4.7</v>
      </c>
      <c r="AH1159" s="245">
        <v>83</v>
      </c>
      <c r="AI1159" s="245">
        <v>82</v>
      </c>
      <c r="AJ1159" s="245">
        <v>156</v>
      </c>
      <c r="AK1159" s="245" t="s">
        <v>971</v>
      </c>
      <c r="AL1159" s="245">
        <v>5.5</v>
      </c>
      <c r="AM1159" s="246">
        <v>4.0999999999999996</v>
      </c>
      <c r="AN1159" s="235">
        <v>155</v>
      </c>
      <c r="AO1159" s="247" t="s">
        <v>2401</v>
      </c>
      <c r="AP1159" s="247">
        <v>1000</v>
      </c>
      <c r="AQ1159" s="247">
        <v>20</v>
      </c>
      <c r="AR1159" s="247">
        <v>24.3</v>
      </c>
      <c r="AS1159" s="247">
        <v>22.2</v>
      </c>
      <c r="AT1159" s="247">
        <v>35</v>
      </c>
      <c r="AU1159" s="247">
        <v>10.9</v>
      </c>
      <c r="AV1159" s="247">
        <v>71</v>
      </c>
      <c r="AW1159" s="247">
        <v>56</v>
      </c>
      <c r="AX1159" s="247">
        <v>404</v>
      </c>
      <c r="AY1159" s="247">
        <v>65</v>
      </c>
      <c r="AZ1159" s="247" t="s">
        <v>1005</v>
      </c>
      <c r="BA1159" s="248">
        <v>3.8</v>
      </c>
      <c r="BB1159" s="235">
        <v>135</v>
      </c>
      <c r="BC1159" s="247" t="s">
        <v>2399</v>
      </c>
      <c r="BD1159" s="247">
        <v>1.9</v>
      </c>
      <c r="BE1159" s="247">
        <v>1.9</v>
      </c>
      <c r="BF1159" s="247">
        <v>3</v>
      </c>
      <c r="BG1159" s="247">
        <v>4.8</v>
      </c>
      <c r="BH1159" s="247">
        <v>6.9</v>
      </c>
      <c r="BI1159" s="247">
        <v>10.4</v>
      </c>
      <c r="BJ1159" s="247">
        <v>13.4</v>
      </c>
      <c r="BK1159" s="247">
        <v>12.3</v>
      </c>
      <c r="BL1159" s="247">
        <v>9</v>
      </c>
      <c r="BM1159" s="247">
        <v>5.7</v>
      </c>
      <c r="BN1159" s="247">
        <v>3.7</v>
      </c>
      <c r="BO1159" s="247">
        <v>2.6</v>
      </c>
      <c r="BP1159" s="248">
        <v>6.3</v>
      </c>
    </row>
    <row r="1160" spans="1:68" ht="14.25" customHeight="1">
      <c r="A1160" s="233">
        <v>503</v>
      </c>
      <c r="B1160" s="234">
        <v>601</v>
      </c>
      <c r="C1160" s="244" t="s">
        <v>1015</v>
      </c>
      <c r="D1160" s="244" t="s">
        <v>2402</v>
      </c>
      <c r="E1160" s="244" t="s">
        <v>2403</v>
      </c>
      <c r="F1160" s="245">
        <v>-1.5</v>
      </c>
      <c r="G1160" s="245">
        <v>1</v>
      </c>
      <c r="H1160" s="245">
        <v>7.7</v>
      </c>
      <c r="I1160" s="245">
        <v>15.2</v>
      </c>
      <c r="J1160" s="245">
        <v>21</v>
      </c>
      <c r="K1160" s="245">
        <v>25.4</v>
      </c>
      <c r="L1160" s="245">
        <v>26.8</v>
      </c>
      <c r="M1160" s="245">
        <v>24.3</v>
      </c>
      <c r="N1160" s="245">
        <v>18.8</v>
      </c>
      <c r="O1160" s="245">
        <v>12.3</v>
      </c>
      <c r="P1160" s="245">
        <v>5.3</v>
      </c>
      <c r="Q1160" s="245">
        <v>0.2</v>
      </c>
      <c r="R1160" s="246">
        <v>13.1</v>
      </c>
      <c r="S1160" s="233">
        <v>590</v>
      </c>
      <c r="T1160" s="247" t="s">
        <v>2403</v>
      </c>
      <c r="U1160" s="245">
        <v>-23</v>
      </c>
      <c r="V1160" s="245">
        <v>-21</v>
      </c>
      <c r="W1160" s="245">
        <v>-20</v>
      </c>
      <c r="X1160" s="245" t="s">
        <v>965</v>
      </c>
      <c r="Y1160" s="245">
        <v>-5</v>
      </c>
      <c r="Z1160" s="245">
        <v>-32</v>
      </c>
      <c r="AA1160" s="245">
        <v>9.4</v>
      </c>
      <c r="AB1160" s="245">
        <v>51</v>
      </c>
      <c r="AC1160" s="245" t="s">
        <v>958</v>
      </c>
      <c r="AD1160" s="245">
        <v>134</v>
      </c>
      <c r="AE1160" s="245">
        <v>1.8</v>
      </c>
      <c r="AF1160" s="245" t="s">
        <v>933</v>
      </c>
      <c r="AG1160" s="245" t="s">
        <v>931</v>
      </c>
      <c r="AH1160" s="245" t="s">
        <v>956</v>
      </c>
      <c r="AI1160" s="245" t="s">
        <v>956</v>
      </c>
      <c r="AJ1160" s="245" t="s">
        <v>1018</v>
      </c>
      <c r="AK1160" s="245" t="s">
        <v>931</v>
      </c>
      <c r="AL1160" s="245">
        <v>2.2000000000000002</v>
      </c>
      <c r="AM1160" s="246" t="s">
        <v>931</v>
      </c>
      <c r="AN1160" s="235">
        <v>591</v>
      </c>
      <c r="AO1160" s="247" t="s">
        <v>2404</v>
      </c>
      <c r="AP1160" s="247">
        <v>990</v>
      </c>
      <c r="AQ1160" s="247">
        <v>33.1</v>
      </c>
      <c r="AR1160" s="247">
        <v>37.1</v>
      </c>
      <c r="AS1160" s="247">
        <v>36</v>
      </c>
      <c r="AT1160" s="247">
        <v>45</v>
      </c>
      <c r="AU1160" s="247">
        <v>18.7</v>
      </c>
      <c r="AV1160" s="247" t="s">
        <v>958</v>
      </c>
      <c r="AW1160" s="247" t="s">
        <v>931</v>
      </c>
      <c r="AX1160" s="247" t="s">
        <v>931</v>
      </c>
      <c r="AY1160" s="247">
        <v>53</v>
      </c>
      <c r="AZ1160" s="247" t="s">
        <v>933</v>
      </c>
      <c r="BA1160" s="248">
        <v>0</v>
      </c>
      <c r="BB1160" s="235"/>
      <c r="BC1160" s="247" t="s">
        <v>2403</v>
      </c>
      <c r="BD1160" s="247"/>
      <c r="BE1160" s="247"/>
      <c r="BF1160" s="247"/>
      <c r="BG1160" s="247"/>
      <c r="BH1160" s="247"/>
      <c r="BI1160" s="247"/>
      <c r="BJ1160" s="247"/>
      <c r="BK1160" s="247"/>
      <c r="BL1160" s="247"/>
      <c r="BM1160" s="247"/>
      <c r="BN1160" s="247"/>
      <c r="BO1160" s="247"/>
      <c r="BP1160" s="248"/>
    </row>
    <row r="1161" spans="1:68" ht="14.25" customHeight="1">
      <c r="A1161" s="233">
        <v>504</v>
      </c>
      <c r="B1161" s="234">
        <v>435</v>
      </c>
      <c r="C1161" s="244" t="s">
        <v>928</v>
      </c>
      <c r="D1161" s="244" t="s">
        <v>969</v>
      </c>
      <c r="E1161" s="244" t="s">
        <v>2405</v>
      </c>
      <c r="F1161" s="245">
        <v>-37.6</v>
      </c>
      <c r="G1161" s="245">
        <v>-33.799999999999997</v>
      </c>
      <c r="H1161" s="245">
        <v>-21.2</v>
      </c>
      <c r="I1161" s="245">
        <v>-8.5</v>
      </c>
      <c r="J1161" s="245">
        <v>3.6</v>
      </c>
      <c r="K1161" s="245">
        <v>13.2</v>
      </c>
      <c r="L1161" s="245">
        <v>16.399999999999999</v>
      </c>
      <c r="M1161" s="245">
        <v>12.6</v>
      </c>
      <c r="N1161" s="245">
        <v>4.5</v>
      </c>
      <c r="O1161" s="245">
        <v>-7.4</v>
      </c>
      <c r="P1161" s="245">
        <v>-26.9</v>
      </c>
      <c r="Q1161" s="245">
        <v>-35.1</v>
      </c>
      <c r="R1161" s="246">
        <v>-10</v>
      </c>
      <c r="S1161" s="233">
        <v>435</v>
      </c>
      <c r="T1161" s="247" t="s">
        <v>2405</v>
      </c>
      <c r="U1161" s="245">
        <v>-61</v>
      </c>
      <c r="V1161" s="245">
        <v>-58</v>
      </c>
      <c r="W1161" s="245">
        <v>-56</v>
      </c>
      <c r="X1161" s="245">
        <v>-53</v>
      </c>
      <c r="Y1161" s="245">
        <v>-43</v>
      </c>
      <c r="Z1161" s="245">
        <v>-63</v>
      </c>
      <c r="AA1161" s="245">
        <v>11.8</v>
      </c>
      <c r="AB1161" s="245">
        <v>222</v>
      </c>
      <c r="AC1161" s="245">
        <v>-22.8</v>
      </c>
      <c r="AD1161" s="245">
        <v>270</v>
      </c>
      <c r="AE1161" s="245">
        <v>-18</v>
      </c>
      <c r="AF1161" s="245">
        <v>284</v>
      </c>
      <c r="AG1161" s="245">
        <v>-16.7</v>
      </c>
      <c r="AH1161" s="245">
        <v>75</v>
      </c>
      <c r="AI1161" s="245">
        <v>75</v>
      </c>
      <c r="AJ1161" s="245">
        <v>64</v>
      </c>
      <c r="AK1161" s="245" t="s">
        <v>971</v>
      </c>
      <c r="AL1161" s="245" t="s">
        <v>931</v>
      </c>
      <c r="AM1161" s="246">
        <v>1.1000000000000001</v>
      </c>
      <c r="AN1161" s="235">
        <v>435</v>
      </c>
      <c r="AO1161" s="247" t="s">
        <v>2406</v>
      </c>
      <c r="AP1161" s="247">
        <v>990</v>
      </c>
      <c r="AQ1161" s="247">
        <v>21.8</v>
      </c>
      <c r="AR1161" s="247">
        <v>26</v>
      </c>
      <c r="AS1161" s="247">
        <v>24.2</v>
      </c>
      <c r="AT1161" s="247">
        <v>35</v>
      </c>
      <c r="AU1161" s="247">
        <v>16.2</v>
      </c>
      <c r="AV1161" s="247">
        <v>66</v>
      </c>
      <c r="AW1161" s="247">
        <v>48</v>
      </c>
      <c r="AX1161" s="247">
        <v>249</v>
      </c>
      <c r="AY1161" s="247" t="s">
        <v>965</v>
      </c>
      <c r="AZ1161" s="247" t="s">
        <v>940</v>
      </c>
      <c r="BA1161" s="248" t="s">
        <v>934</v>
      </c>
      <c r="BB1161" s="235">
        <v>398</v>
      </c>
      <c r="BC1161" s="247" t="s">
        <v>2405</v>
      </c>
      <c r="BD1161" s="247">
        <v>0.3</v>
      </c>
      <c r="BE1161" s="247">
        <v>0.4</v>
      </c>
      <c r="BF1161" s="247">
        <v>1.1000000000000001</v>
      </c>
      <c r="BG1161" s="247">
        <v>2.2999999999999998</v>
      </c>
      <c r="BH1161" s="247">
        <v>4.7</v>
      </c>
      <c r="BI1161" s="247">
        <v>9</v>
      </c>
      <c r="BJ1161" s="247">
        <v>11.8</v>
      </c>
      <c r="BK1161" s="247">
        <v>10.4</v>
      </c>
      <c r="BL1161" s="247">
        <v>6.3</v>
      </c>
      <c r="BM1161" s="247">
        <v>3.2</v>
      </c>
      <c r="BN1161" s="247">
        <v>0.9</v>
      </c>
      <c r="BO1161" s="247">
        <v>0.4</v>
      </c>
      <c r="BP1161" s="248">
        <v>4.2</v>
      </c>
    </row>
    <row r="1162" spans="1:68" ht="14.25" customHeight="1">
      <c r="A1162" s="233">
        <v>505</v>
      </c>
      <c r="B1162" s="234">
        <v>436</v>
      </c>
      <c r="C1162" s="244" t="s">
        <v>928</v>
      </c>
      <c r="D1162" s="244" t="s">
        <v>969</v>
      </c>
      <c r="E1162" s="244" t="s">
        <v>2407</v>
      </c>
      <c r="F1162" s="245">
        <v>-34.6</v>
      </c>
      <c r="G1162" s="245">
        <v>-32.4</v>
      </c>
      <c r="H1162" s="245">
        <v>-23.6</v>
      </c>
      <c r="I1162" s="245">
        <v>-12.7</v>
      </c>
      <c r="J1162" s="245">
        <v>-0.2</v>
      </c>
      <c r="K1162" s="245">
        <v>9.3000000000000007</v>
      </c>
      <c r="L1162" s="245">
        <v>12.7</v>
      </c>
      <c r="M1162" s="245">
        <v>9.9</v>
      </c>
      <c r="N1162" s="245">
        <v>1.7</v>
      </c>
      <c r="O1162" s="245">
        <v>-12.1</v>
      </c>
      <c r="P1162" s="245">
        <v>-27.4</v>
      </c>
      <c r="Q1162" s="245">
        <v>-33.1</v>
      </c>
      <c r="R1162" s="246">
        <v>-11.9</v>
      </c>
      <c r="S1162" s="233">
        <v>436</v>
      </c>
      <c r="T1162" s="247" t="s">
        <v>2407</v>
      </c>
      <c r="U1162" s="245">
        <v>-51</v>
      </c>
      <c r="V1162" s="245">
        <v>-50</v>
      </c>
      <c r="W1162" s="245">
        <v>-49</v>
      </c>
      <c r="X1162" s="245">
        <v>-46</v>
      </c>
      <c r="Y1162" s="245">
        <v>-40</v>
      </c>
      <c r="Z1162" s="245">
        <v>-53</v>
      </c>
      <c r="AA1162" s="245">
        <v>7.2</v>
      </c>
      <c r="AB1162" s="245">
        <v>239</v>
      </c>
      <c r="AC1162" s="245">
        <v>-22.1</v>
      </c>
      <c r="AD1162" s="245">
        <v>292</v>
      </c>
      <c r="AE1162" s="245">
        <v>-17.399999999999999</v>
      </c>
      <c r="AF1162" s="245">
        <v>311</v>
      </c>
      <c r="AG1162" s="245">
        <v>-15.8</v>
      </c>
      <c r="AH1162" s="245">
        <v>75</v>
      </c>
      <c r="AI1162" s="245">
        <v>75</v>
      </c>
      <c r="AJ1162" s="245">
        <v>34</v>
      </c>
      <c r="AK1162" s="245" t="s">
        <v>971</v>
      </c>
      <c r="AL1162" s="245">
        <v>8.6999999999999993</v>
      </c>
      <c r="AM1162" s="246">
        <v>3</v>
      </c>
      <c r="AN1162" s="235">
        <v>436</v>
      </c>
      <c r="AO1162" s="247" t="s">
        <v>2408</v>
      </c>
      <c r="AP1162" s="247">
        <v>920</v>
      </c>
      <c r="AQ1162" s="247">
        <v>16.8</v>
      </c>
      <c r="AR1162" s="247">
        <v>21.2</v>
      </c>
      <c r="AS1162" s="247">
        <v>19.2</v>
      </c>
      <c r="AT1162" s="247">
        <v>32</v>
      </c>
      <c r="AU1162" s="247">
        <v>12.3</v>
      </c>
      <c r="AV1162" s="247">
        <v>67</v>
      </c>
      <c r="AW1162" s="247">
        <v>54</v>
      </c>
      <c r="AX1162" s="247">
        <v>303</v>
      </c>
      <c r="AY1162" s="247">
        <v>56</v>
      </c>
      <c r="AZ1162" s="247" t="s">
        <v>978</v>
      </c>
      <c r="BA1162" s="248">
        <v>0</v>
      </c>
      <c r="BB1162" s="235">
        <v>399</v>
      </c>
      <c r="BC1162" s="247" t="s">
        <v>2407</v>
      </c>
      <c r="BD1162" s="247">
        <v>0.3</v>
      </c>
      <c r="BE1162" s="247">
        <v>0.4</v>
      </c>
      <c r="BF1162" s="247">
        <v>0.7</v>
      </c>
      <c r="BG1162" s="247">
        <v>1.7</v>
      </c>
      <c r="BH1162" s="247">
        <v>3.9</v>
      </c>
      <c r="BI1162" s="247">
        <v>7.3</v>
      </c>
      <c r="BJ1162" s="247">
        <v>9.5</v>
      </c>
      <c r="BK1162" s="247">
        <v>8.8000000000000007</v>
      </c>
      <c r="BL1162" s="247">
        <v>5.2</v>
      </c>
      <c r="BM1162" s="247">
        <v>2.1</v>
      </c>
      <c r="BN1162" s="247">
        <v>0.6</v>
      </c>
      <c r="BO1162" s="247">
        <v>0.4</v>
      </c>
      <c r="BP1162" s="248">
        <v>3.4</v>
      </c>
    </row>
    <row r="1163" spans="1:68" ht="14.25" customHeight="1">
      <c r="A1163" s="233">
        <v>506</v>
      </c>
      <c r="B1163" s="234">
        <v>275</v>
      </c>
      <c r="C1163" s="244" t="s">
        <v>928</v>
      </c>
      <c r="D1163" s="244" t="s">
        <v>1934</v>
      </c>
      <c r="E1163" s="244" t="s">
        <v>2409</v>
      </c>
      <c r="F1163" s="245">
        <v>-5.2</v>
      </c>
      <c r="G1163" s="245">
        <v>-4.5</v>
      </c>
      <c r="H1163" s="245">
        <v>0.5</v>
      </c>
      <c r="I1163" s="245">
        <v>9.4</v>
      </c>
      <c r="J1163" s="245">
        <v>16.8</v>
      </c>
      <c r="K1163" s="245">
        <v>21</v>
      </c>
      <c r="L1163" s="245">
        <v>23.7</v>
      </c>
      <c r="M1163" s="245">
        <v>22.6</v>
      </c>
      <c r="N1163" s="245">
        <v>17.100000000000001</v>
      </c>
      <c r="O1163" s="245">
        <v>9.8000000000000007</v>
      </c>
      <c r="P1163" s="245">
        <v>3</v>
      </c>
      <c r="Q1163" s="245">
        <v>-2.1</v>
      </c>
      <c r="R1163" s="246">
        <v>9.3000000000000007</v>
      </c>
      <c r="S1163" s="233">
        <v>275</v>
      </c>
      <c r="T1163" s="247" t="s">
        <v>2410</v>
      </c>
      <c r="U1163" s="245">
        <v>-28</v>
      </c>
      <c r="V1163" s="245">
        <v>-26</v>
      </c>
      <c r="W1163" s="245">
        <v>-25</v>
      </c>
      <c r="X1163" s="245">
        <v>-22</v>
      </c>
      <c r="Y1163" s="245">
        <v>-10</v>
      </c>
      <c r="Z1163" s="245">
        <v>-32</v>
      </c>
      <c r="AA1163" s="245">
        <v>5.5</v>
      </c>
      <c r="AB1163" s="245">
        <v>100</v>
      </c>
      <c r="AC1163" s="245">
        <v>-3.3</v>
      </c>
      <c r="AD1163" s="245">
        <v>167</v>
      </c>
      <c r="AE1163" s="245">
        <v>-0.4</v>
      </c>
      <c r="AF1163" s="245">
        <v>185</v>
      </c>
      <c r="AG1163" s="245">
        <v>0.4</v>
      </c>
      <c r="AH1163" s="245">
        <v>86</v>
      </c>
      <c r="AI1163" s="245">
        <v>85</v>
      </c>
      <c r="AJ1163" s="245">
        <v>214</v>
      </c>
      <c r="AK1163" s="245" t="s">
        <v>982</v>
      </c>
      <c r="AL1163" s="245" t="s">
        <v>931</v>
      </c>
      <c r="AM1163" s="246">
        <v>4.5999999999999996</v>
      </c>
      <c r="AN1163" s="235">
        <v>275</v>
      </c>
      <c r="AO1163" s="247" t="s">
        <v>2411</v>
      </c>
      <c r="AP1163" s="247">
        <v>1010</v>
      </c>
      <c r="AQ1163" s="247">
        <v>25.8</v>
      </c>
      <c r="AR1163" s="247">
        <v>29.8</v>
      </c>
      <c r="AS1163" s="247">
        <v>28.2</v>
      </c>
      <c r="AT1163" s="247">
        <v>40</v>
      </c>
      <c r="AU1163" s="247">
        <v>9.1</v>
      </c>
      <c r="AV1163" s="247">
        <v>61</v>
      </c>
      <c r="AW1163" s="247">
        <v>51</v>
      </c>
      <c r="AX1163" s="247">
        <v>308</v>
      </c>
      <c r="AY1163" s="247">
        <v>140</v>
      </c>
      <c r="AZ1163" s="247" t="s">
        <v>1038</v>
      </c>
      <c r="BA1163" s="248" t="s">
        <v>934</v>
      </c>
      <c r="BB1163" s="235">
        <v>246</v>
      </c>
      <c r="BC1163" s="247" t="s">
        <v>2409</v>
      </c>
      <c r="BD1163" s="247">
        <v>4.0999999999999996</v>
      </c>
      <c r="BE1163" s="247">
        <v>4.3</v>
      </c>
      <c r="BF1163" s="247">
        <v>5.6</v>
      </c>
      <c r="BG1163" s="247">
        <v>8.8000000000000007</v>
      </c>
      <c r="BH1163" s="247">
        <v>12.6</v>
      </c>
      <c r="BI1163" s="247">
        <v>16.100000000000001</v>
      </c>
      <c r="BJ1163" s="247">
        <v>17.600000000000001</v>
      </c>
      <c r="BK1163" s="247">
        <v>16.8</v>
      </c>
      <c r="BL1163" s="247">
        <v>13</v>
      </c>
      <c r="BM1163" s="247">
        <v>9.3000000000000007</v>
      </c>
      <c r="BN1163" s="247">
        <v>7</v>
      </c>
      <c r="BO1163" s="247">
        <v>5.3</v>
      </c>
      <c r="BP1163" s="248">
        <v>10</v>
      </c>
    </row>
    <row r="1164" spans="1:68" ht="14.25" customHeight="1">
      <c r="A1164" s="233">
        <v>507</v>
      </c>
      <c r="B1164" s="234">
        <v>188</v>
      </c>
      <c r="C1164" s="244" t="s">
        <v>928</v>
      </c>
      <c r="D1164" s="244" t="s">
        <v>935</v>
      </c>
      <c r="E1164" s="244" t="s">
        <v>2412</v>
      </c>
      <c r="F1164" s="245">
        <v>-30.1</v>
      </c>
      <c r="G1164" s="245">
        <v>-26.6</v>
      </c>
      <c r="H1164" s="245">
        <v>-15.6</v>
      </c>
      <c r="I1164" s="245">
        <v>-3.4</v>
      </c>
      <c r="J1164" s="245">
        <v>5.0999999999999996</v>
      </c>
      <c r="K1164" s="245">
        <v>13.4</v>
      </c>
      <c r="L1164" s="245">
        <v>16.8</v>
      </c>
      <c r="M1164" s="245">
        <v>12.7</v>
      </c>
      <c r="N1164" s="245">
        <v>5.3</v>
      </c>
      <c r="O1164" s="245">
        <v>-4.2</v>
      </c>
      <c r="P1164" s="245">
        <v>-20.100000000000001</v>
      </c>
      <c r="Q1164" s="245">
        <v>-29.1</v>
      </c>
      <c r="R1164" s="246">
        <v>-6.3</v>
      </c>
      <c r="S1164" s="233">
        <v>188</v>
      </c>
      <c r="T1164" s="247" t="s">
        <v>2413</v>
      </c>
      <c r="U1164" s="245">
        <v>-55</v>
      </c>
      <c r="V1164" s="245">
        <v>-53</v>
      </c>
      <c r="W1164" s="245">
        <v>-53</v>
      </c>
      <c r="X1164" s="245">
        <v>-51</v>
      </c>
      <c r="Y1164" s="245">
        <v>-35</v>
      </c>
      <c r="Z1164" s="245">
        <v>-58</v>
      </c>
      <c r="AA1164" s="245">
        <v>12.6</v>
      </c>
      <c r="AB1164" s="245">
        <v>207</v>
      </c>
      <c r="AC1164" s="245">
        <v>-18.5</v>
      </c>
      <c r="AD1164" s="245">
        <v>264</v>
      </c>
      <c r="AE1164" s="245">
        <v>-13.6</v>
      </c>
      <c r="AF1164" s="245">
        <v>280</v>
      </c>
      <c r="AG1164" s="245">
        <v>-12.3</v>
      </c>
      <c r="AH1164" s="245">
        <v>76</v>
      </c>
      <c r="AI1164" s="245">
        <v>73</v>
      </c>
      <c r="AJ1164" s="245">
        <v>101</v>
      </c>
      <c r="AK1164" s="245" t="s">
        <v>950</v>
      </c>
      <c r="AL1164" s="245" t="s">
        <v>931</v>
      </c>
      <c r="AM1164" s="246">
        <v>1.2</v>
      </c>
      <c r="AN1164" s="235">
        <v>188</v>
      </c>
      <c r="AO1164" s="247" t="s">
        <v>2414</v>
      </c>
      <c r="AP1164" s="247">
        <v>985</v>
      </c>
      <c r="AQ1164" s="247">
        <v>22.5</v>
      </c>
      <c r="AR1164" s="247">
        <v>26.6</v>
      </c>
      <c r="AS1164" s="247">
        <v>24.9</v>
      </c>
      <c r="AT1164" s="247">
        <v>37</v>
      </c>
      <c r="AU1164" s="247">
        <v>16.2</v>
      </c>
      <c r="AV1164" s="247">
        <v>72</v>
      </c>
      <c r="AW1164" s="247">
        <v>50</v>
      </c>
      <c r="AX1164" s="247">
        <v>309</v>
      </c>
      <c r="AY1164" s="247">
        <v>54</v>
      </c>
      <c r="AZ1164" s="247" t="s">
        <v>952</v>
      </c>
      <c r="BA1164" s="248" t="s">
        <v>934</v>
      </c>
      <c r="BB1164" s="235">
        <v>166</v>
      </c>
      <c r="BC1164" s="247" t="s">
        <v>2412</v>
      </c>
      <c r="BD1164" s="247">
        <v>0.6</v>
      </c>
      <c r="BE1164" s="247">
        <v>0.7</v>
      </c>
      <c r="BF1164" s="247">
        <v>1.5</v>
      </c>
      <c r="BG1164" s="247">
        <v>3</v>
      </c>
      <c r="BH1164" s="247">
        <v>5.0999999999999996</v>
      </c>
      <c r="BI1164" s="247">
        <v>9.6</v>
      </c>
      <c r="BJ1164" s="247">
        <v>13.3</v>
      </c>
      <c r="BK1164" s="247">
        <v>11.5</v>
      </c>
      <c r="BL1164" s="247">
        <v>7.3</v>
      </c>
      <c r="BM1164" s="247">
        <v>3.8</v>
      </c>
      <c r="BN1164" s="247">
        <v>1.5</v>
      </c>
      <c r="BO1164" s="247">
        <v>0.7</v>
      </c>
      <c r="BP1164" s="248">
        <v>4.9000000000000004</v>
      </c>
    </row>
    <row r="1165" spans="1:68" ht="14.25" customHeight="1">
      <c r="A1165" s="233">
        <v>508</v>
      </c>
      <c r="B1165" s="234">
        <v>143</v>
      </c>
      <c r="C1165" s="244" t="s">
        <v>928</v>
      </c>
      <c r="D1165" s="244" t="s">
        <v>1677</v>
      </c>
      <c r="E1165" s="244" t="s">
        <v>2415</v>
      </c>
      <c r="F1165" s="245">
        <v>-18.8</v>
      </c>
      <c r="G1165" s="245">
        <v>-16.7</v>
      </c>
      <c r="H1165" s="245">
        <v>-10.4</v>
      </c>
      <c r="I1165" s="245">
        <v>-0.3</v>
      </c>
      <c r="J1165" s="245">
        <v>8.1999999999999993</v>
      </c>
      <c r="K1165" s="245">
        <v>14.9</v>
      </c>
      <c r="L1165" s="245">
        <v>17.5</v>
      </c>
      <c r="M1165" s="245">
        <v>14.4</v>
      </c>
      <c r="N1165" s="245">
        <v>8.4</v>
      </c>
      <c r="O1165" s="245">
        <v>0.1</v>
      </c>
      <c r="P1165" s="245">
        <v>-10.3</v>
      </c>
      <c r="Q1165" s="245">
        <v>-17.399999999999999</v>
      </c>
      <c r="R1165" s="246">
        <v>-0.9</v>
      </c>
      <c r="S1165" s="233">
        <v>143</v>
      </c>
      <c r="T1165" s="247" t="s">
        <v>2416</v>
      </c>
      <c r="U1165" s="245">
        <v>-44</v>
      </c>
      <c r="V1165" s="245">
        <v>-43</v>
      </c>
      <c r="W1165" s="245">
        <v>-42</v>
      </c>
      <c r="X1165" s="245">
        <v>-39</v>
      </c>
      <c r="Y1165" s="245">
        <v>-24</v>
      </c>
      <c r="Z1165" s="245">
        <v>-53</v>
      </c>
      <c r="AA1165" s="245">
        <v>9.4</v>
      </c>
      <c r="AB1165" s="245">
        <v>182</v>
      </c>
      <c r="AC1165" s="245">
        <v>-12.2</v>
      </c>
      <c r="AD1165" s="245">
        <v>240</v>
      </c>
      <c r="AE1165" s="245">
        <v>-8.3000000000000007</v>
      </c>
      <c r="AF1165" s="245">
        <v>259</v>
      </c>
      <c r="AG1165" s="245">
        <v>-7</v>
      </c>
      <c r="AH1165" s="245">
        <v>81</v>
      </c>
      <c r="AI1165" s="245">
        <v>79</v>
      </c>
      <c r="AJ1165" s="245">
        <v>171</v>
      </c>
      <c r="AK1165" s="245" t="s">
        <v>971</v>
      </c>
      <c r="AL1165" s="245">
        <v>6.6</v>
      </c>
      <c r="AM1165" s="246" t="s">
        <v>931</v>
      </c>
      <c r="AN1165" s="235">
        <v>143</v>
      </c>
      <c r="AO1165" s="247" t="s">
        <v>2417</v>
      </c>
      <c r="AP1165" s="247">
        <v>980</v>
      </c>
      <c r="AQ1165" s="247">
        <v>21.2</v>
      </c>
      <c r="AR1165" s="247">
        <v>25.4</v>
      </c>
      <c r="AS1165" s="247">
        <v>23.6</v>
      </c>
      <c r="AT1165" s="247">
        <v>36</v>
      </c>
      <c r="AU1165" s="247">
        <v>12.3</v>
      </c>
      <c r="AV1165" s="247">
        <v>74</v>
      </c>
      <c r="AW1165" s="247">
        <v>59</v>
      </c>
      <c r="AX1165" s="247">
        <v>444</v>
      </c>
      <c r="AY1165" s="247">
        <v>82</v>
      </c>
      <c r="AZ1165" s="247" t="s">
        <v>978</v>
      </c>
      <c r="BA1165" s="248">
        <v>0</v>
      </c>
      <c r="BB1165" s="235">
        <v>126</v>
      </c>
      <c r="BC1165" s="247" t="s">
        <v>2415</v>
      </c>
      <c r="BD1165" s="247">
        <v>1.4</v>
      </c>
      <c r="BE1165" s="247">
        <v>1.5</v>
      </c>
      <c r="BF1165" s="247">
        <v>2.4</v>
      </c>
      <c r="BG1165" s="247">
        <v>4.4000000000000004</v>
      </c>
      <c r="BH1165" s="247">
        <v>6.8</v>
      </c>
      <c r="BI1165" s="247">
        <v>11.4</v>
      </c>
      <c r="BJ1165" s="247">
        <v>14.5</v>
      </c>
      <c r="BK1165" s="247">
        <v>12.7</v>
      </c>
      <c r="BL1165" s="247">
        <v>8.6</v>
      </c>
      <c r="BM1165" s="247">
        <v>5.0999999999999996</v>
      </c>
      <c r="BN1165" s="247">
        <v>2.7</v>
      </c>
      <c r="BO1165" s="247">
        <v>1.7</v>
      </c>
      <c r="BP1165" s="248">
        <v>6.1</v>
      </c>
    </row>
    <row r="1166" spans="1:68" ht="14.25" customHeight="1">
      <c r="A1166" s="233">
        <v>509</v>
      </c>
      <c r="B1166" s="234">
        <v>105</v>
      </c>
      <c r="C1166" s="244" t="s">
        <v>928</v>
      </c>
      <c r="D1166" s="244" t="s">
        <v>1001</v>
      </c>
      <c r="E1166" s="244" t="s">
        <v>2418</v>
      </c>
      <c r="F1166" s="245">
        <v>-19.5</v>
      </c>
      <c r="G1166" s="245">
        <v>-17.2</v>
      </c>
      <c r="H1166" s="245">
        <v>-9.1</v>
      </c>
      <c r="I1166" s="245">
        <v>0.7</v>
      </c>
      <c r="J1166" s="245">
        <v>8.4</v>
      </c>
      <c r="K1166" s="245">
        <v>15.8</v>
      </c>
      <c r="L1166" s="245">
        <v>18.3</v>
      </c>
      <c r="M1166" s="245">
        <v>15</v>
      </c>
      <c r="N1166" s="245">
        <v>8.3000000000000007</v>
      </c>
      <c r="O1166" s="245">
        <v>0.2</v>
      </c>
      <c r="P1166" s="245">
        <v>-10.6</v>
      </c>
      <c r="Q1166" s="245">
        <v>-18.399999999999999</v>
      </c>
      <c r="R1166" s="246">
        <v>-0.7</v>
      </c>
      <c r="S1166" s="233">
        <v>105</v>
      </c>
      <c r="T1166" s="247" t="s">
        <v>2419</v>
      </c>
      <c r="U1166" s="245">
        <v>-46</v>
      </c>
      <c r="V1166" s="245">
        <v>-45</v>
      </c>
      <c r="W1166" s="245">
        <v>-42</v>
      </c>
      <c r="X1166" s="245">
        <v>-40</v>
      </c>
      <c r="Y1166" s="245">
        <v>-25</v>
      </c>
      <c r="Z1166" s="245">
        <v>-50</v>
      </c>
      <c r="AA1166" s="245">
        <v>10.8</v>
      </c>
      <c r="AB1166" s="245">
        <v>179</v>
      </c>
      <c r="AC1166" s="245">
        <v>-12.6</v>
      </c>
      <c r="AD1166" s="245">
        <v>240</v>
      </c>
      <c r="AE1166" s="245">
        <v>-8.3000000000000007</v>
      </c>
      <c r="AF1166" s="245">
        <v>257</v>
      </c>
      <c r="AG1166" s="245">
        <v>-7.2</v>
      </c>
      <c r="AH1166" s="245">
        <v>78</v>
      </c>
      <c r="AI1166" s="245">
        <v>75</v>
      </c>
      <c r="AJ1166" s="245">
        <v>125</v>
      </c>
      <c r="AK1166" s="245" t="s">
        <v>950</v>
      </c>
      <c r="AL1166" s="245">
        <v>6.4</v>
      </c>
      <c r="AM1166" s="246">
        <v>3.1</v>
      </c>
      <c r="AN1166" s="235">
        <v>105</v>
      </c>
      <c r="AO1166" s="247" t="s">
        <v>2420</v>
      </c>
      <c r="AP1166" s="247">
        <v>975</v>
      </c>
      <c r="AQ1166" s="247">
        <v>22.4</v>
      </c>
      <c r="AR1166" s="247">
        <v>26.6</v>
      </c>
      <c r="AS1166" s="247">
        <v>24.8</v>
      </c>
      <c r="AT1166" s="247">
        <v>36</v>
      </c>
      <c r="AU1166" s="247">
        <v>13.2</v>
      </c>
      <c r="AV1166" s="247">
        <v>71</v>
      </c>
      <c r="AW1166" s="247">
        <v>54</v>
      </c>
      <c r="AX1166" s="247">
        <v>350</v>
      </c>
      <c r="AY1166" s="247">
        <v>71</v>
      </c>
      <c r="AZ1166" s="247" t="s">
        <v>952</v>
      </c>
      <c r="BA1166" s="248">
        <v>0</v>
      </c>
      <c r="BB1166" s="235">
        <v>89</v>
      </c>
      <c r="BC1166" s="247" t="s">
        <v>2418</v>
      </c>
      <c r="BD1166" s="247">
        <v>1.3</v>
      </c>
      <c r="BE1166" s="247">
        <v>1.4</v>
      </c>
      <c r="BF1166" s="247">
        <v>2.2999999999999998</v>
      </c>
      <c r="BG1166" s="247">
        <v>4.0999999999999996</v>
      </c>
      <c r="BH1166" s="247">
        <v>6.1</v>
      </c>
      <c r="BI1166" s="247">
        <v>10.8</v>
      </c>
      <c r="BJ1166" s="247">
        <v>14.7</v>
      </c>
      <c r="BK1166" s="247">
        <v>12.9</v>
      </c>
      <c r="BL1166" s="247">
        <v>8.3000000000000007</v>
      </c>
      <c r="BM1166" s="247">
        <v>4.7</v>
      </c>
      <c r="BN1166" s="247">
        <v>2.4</v>
      </c>
      <c r="BO1166" s="247">
        <v>1.5</v>
      </c>
      <c r="BP1166" s="248">
        <v>5.9</v>
      </c>
    </row>
    <row r="1167" spans="1:68" ht="14.25" customHeight="1">
      <c r="A1167" s="233">
        <v>510</v>
      </c>
      <c r="B1167" s="234">
        <v>547</v>
      </c>
      <c r="C1167" s="244" t="s">
        <v>1180</v>
      </c>
      <c r="D1167" s="244" t="s">
        <v>2421</v>
      </c>
      <c r="E1167" s="244" t="s">
        <v>2422</v>
      </c>
      <c r="F1167" s="245">
        <v>-6.6</v>
      </c>
      <c r="G1167" s="245">
        <v>-4.3</v>
      </c>
      <c r="H1167" s="245">
        <v>1.6</v>
      </c>
      <c r="I1167" s="245">
        <v>8.6999999999999993</v>
      </c>
      <c r="J1167" s="245">
        <v>14.1</v>
      </c>
      <c r="K1167" s="245">
        <v>18</v>
      </c>
      <c r="L1167" s="245">
        <v>20.2</v>
      </c>
      <c r="M1167" s="245">
        <v>18.600000000000001</v>
      </c>
      <c r="N1167" s="245">
        <v>13.5</v>
      </c>
      <c r="O1167" s="245">
        <v>7.5</v>
      </c>
      <c r="P1167" s="245">
        <v>0.6</v>
      </c>
      <c r="Q1167" s="245">
        <v>-3.8</v>
      </c>
      <c r="R1167" s="246">
        <v>7.3</v>
      </c>
      <c r="S1167" s="233">
        <v>547</v>
      </c>
      <c r="T1167" s="247" t="s">
        <v>2422</v>
      </c>
      <c r="U1167" s="245">
        <v>-28</v>
      </c>
      <c r="V1167" s="245">
        <v>-24</v>
      </c>
      <c r="W1167" s="245">
        <v>-23</v>
      </c>
      <c r="X1167" s="245">
        <v>-21</v>
      </c>
      <c r="Y1167" s="245" t="s">
        <v>956</v>
      </c>
      <c r="Z1167" s="245" t="s">
        <v>931</v>
      </c>
      <c r="AA1167" s="245">
        <v>12.3</v>
      </c>
      <c r="AB1167" s="245" t="s">
        <v>1018</v>
      </c>
      <c r="AC1167" s="245" t="s">
        <v>958</v>
      </c>
      <c r="AD1167" s="245" t="s">
        <v>1018</v>
      </c>
      <c r="AE1167" s="245" t="s">
        <v>931</v>
      </c>
      <c r="AF1167" s="245" t="s">
        <v>933</v>
      </c>
      <c r="AG1167" s="245" t="s">
        <v>931</v>
      </c>
      <c r="AH1167" s="245">
        <v>67</v>
      </c>
      <c r="AI1167" s="245">
        <v>57</v>
      </c>
      <c r="AJ1167" s="245">
        <v>126</v>
      </c>
      <c r="AK1167" s="245" t="s">
        <v>982</v>
      </c>
      <c r="AL1167" s="245">
        <v>2.5</v>
      </c>
      <c r="AM1167" s="246" t="s">
        <v>931</v>
      </c>
      <c r="AN1167" s="235">
        <v>547</v>
      </c>
      <c r="AO1167" s="247" t="s">
        <v>2423</v>
      </c>
      <c r="AP1167" s="247" t="s">
        <v>965</v>
      </c>
      <c r="AQ1167" s="247" t="s">
        <v>958</v>
      </c>
      <c r="AR1167" s="247" t="s">
        <v>931</v>
      </c>
      <c r="AS1167" s="247" t="s">
        <v>958</v>
      </c>
      <c r="AT1167" s="247">
        <v>40</v>
      </c>
      <c r="AU1167" s="247" t="s">
        <v>934</v>
      </c>
      <c r="AV1167" s="247">
        <v>51</v>
      </c>
      <c r="AW1167" s="247">
        <v>34</v>
      </c>
      <c r="AX1167" s="247">
        <v>216</v>
      </c>
      <c r="AY1167" s="247" t="s">
        <v>965</v>
      </c>
      <c r="AZ1167" s="247" t="s">
        <v>959</v>
      </c>
      <c r="BA1167" s="248">
        <v>1.9</v>
      </c>
      <c r="BB1167" s="235"/>
      <c r="BC1167" s="247" t="s">
        <v>2422</v>
      </c>
      <c r="BD1167" s="247"/>
      <c r="BE1167" s="247"/>
      <c r="BF1167" s="247"/>
      <c r="BG1167" s="247"/>
      <c r="BH1167" s="247"/>
      <c r="BI1167" s="247"/>
      <c r="BJ1167" s="247"/>
      <c r="BK1167" s="247"/>
      <c r="BL1167" s="247"/>
      <c r="BM1167" s="247"/>
      <c r="BN1167" s="247"/>
      <c r="BO1167" s="247"/>
      <c r="BP1167" s="248"/>
    </row>
    <row r="1168" spans="1:68" ht="14.25" customHeight="1">
      <c r="A1168" s="233">
        <v>511</v>
      </c>
      <c r="B1168" s="234">
        <v>534</v>
      </c>
      <c r="C1168" s="244" t="s">
        <v>960</v>
      </c>
      <c r="D1168" s="244" t="s">
        <v>1509</v>
      </c>
      <c r="E1168" s="244" t="s">
        <v>2424</v>
      </c>
      <c r="F1168" s="245">
        <v>-9.6999999999999993</v>
      </c>
      <c r="G1168" s="245">
        <v>-8</v>
      </c>
      <c r="H1168" s="245">
        <v>0</v>
      </c>
      <c r="I1168" s="245">
        <v>10.199999999999999</v>
      </c>
      <c r="J1168" s="245">
        <v>16.3</v>
      </c>
      <c r="K1168" s="245">
        <v>21.1</v>
      </c>
      <c r="L1168" s="245">
        <v>23.5</v>
      </c>
      <c r="M1168" s="245">
        <v>21.7</v>
      </c>
      <c r="N1168" s="245">
        <v>16</v>
      </c>
      <c r="O1168" s="245">
        <v>8.3000000000000007</v>
      </c>
      <c r="P1168" s="245">
        <v>-0.9</v>
      </c>
      <c r="Q1168" s="245">
        <v>-7.3</v>
      </c>
      <c r="R1168" s="246">
        <v>7.6</v>
      </c>
      <c r="S1168" s="233">
        <v>534</v>
      </c>
      <c r="T1168" s="247" t="s">
        <v>2424</v>
      </c>
      <c r="U1168" s="245">
        <v>-34</v>
      </c>
      <c r="V1168" s="245">
        <v>-32</v>
      </c>
      <c r="W1168" s="245">
        <v>-29</v>
      </c>
      <c r="X1168" s="245">
        <v>-26</v>
      </c>
      <c r="Y1168" s="245" t="s">
        <v>956</v>
      </c>
      <c r="Z1168" s="245" t="s">
        <v>931</v>
      </c>
      <c r="AA1168" s="245">
        <v>12.5</v>
      </c>
      <c r="AB1168" s="245">
        <v>125</v>
      </c>
      <c r="AC1168" s="245">
        <v>-6.6</v>
      </c>
      <c r="AD1168" s="245">
        <v>174</v>
      </c>
      <c r="AE1168" s="245">
        <v>-3.7</v>
      </c>
      <c r="AF1168" s="245">
        <v>187</v>
      </c>
      <c r="AG1168" s="245">
        <v>-2.8</v>
      </c>
      <c r="AH1168" s="245" t="s">
        <v>956</v>
      </c>
      <c r="AI1168" s="245" t="s">
        <v>956</v>
      </c>
      <c r="AJ1168" s="245">
        <v>169</v>
      </c>
      <c r="AK1168" s="245" t="s">
        <v>931</v>
      </c>
      <c r="AL1168" s="245" t="s">
        <v>931</v>
      </c>
      <c r="AM1168" s="246" t="s">
        <v>931</v>
      </c>
      <c r="AN1168" s="235">
        <v>534</v>
      </c>
      <c r="AO1168" s="247" t="s">
        <v>2425</v>
      </c>
      <c r="AP1168" s="247" t="s">
        <v>2166</v>
      </c>
      <c r="AQ1168" s="247" t="s">
        <v>830</v>
      </c>
      <c r="AR1168" s="247" t="s">
        <v>2426</v>
      </c>
      <c r="AS1168" s="247">
        <v>30.8</v>
      </c>
      <c r="AT1168" s="247">
        <v>44</v>
      </c>
      <c r="AU1168" s="247">
        <v>15.5</v>
      </c>
      <c r="AV1168" s="247" t="s">
        <v>958</v>
      </c>
      <c r="AW1168" s="247" t="s">
        <v>931</v>
      </c>
      <c r="AX1168" s="247">
        <v>224</v>
      </c>
      <c r="AY1168" s="247" t="s">
        <v>965</v>
      </c>
      <c r="AZ1168" s="247" t="s">
        <v>933</v>
      </c>
      <c r="BA1168" s="248" t="s">
        <v>934</v>
      </c>
      <c r="BB1168" s="235"/>
      <c r="BC1168" s="247" t="s">
        <v>2424</v>
      </c>
      <c r="BD1168" s="247"/>
      <c r="BE1168" s="247"/>
      <c r="BF1168" s="247"/>
      <c r="BG1168" s="247"/>
      <c r="BH1168" s="247"/>
      <c r="BI1168" s="247"/>
      <c r="BJ1168" s="247"/>
      <c r="BK1168" s="247"/>
      <c r="BL1168" s="247"/>
      <c r="BM1168" s="247"/>
      <c r="BN1168" s="247"/>
      <c r="BO1168" s="247"/>
      <c r="BP1168" s="248"/>
    </row>
    <row r="1169" spans="1:68" ht="14.25" customHeight="1">
      <c r="A1169" s="233">
        <v>512</v>
      </c>
      <c r="B1169" s="234">
        <v>310</v>
      </c>
      <c r="C1169" s="244" t="s">
        <v>928</v>
      </c>
      <c r="D1169" s="244" t="s">
        <v>2427</v>
      </c>
      <c r="E1169" s="244" t="s">
        <v>2428</v>
      </c>
      <c r="F1169" s="245">
        <v>-10.9</v>
      </c>
      <c r="G1169" s="245">
        <v>-10.3</v>
      </c>
      <c r="H1169" s="245">
        <v>-4.5999999999999996</v>
      </c>
      <c r="I1169" s="245">
        <v>6</v>
      </c>
      <c r="J1169" s="245">
        <v>14.1</v>
      </c>
      <c r="K1169" s="245">
        <v>18.100000000000001</v>
      </c>
      <c r="L1169" s="245">
        <v>19.8</v>
      </c>
      <c r="M1169" s="245">
        <v>18.600000000000001</v>
      </c>
      <c r="N1169" s="245">
        <v>12.5</v>
      </c>
      <c r="O1169" s="245">
        <v>5.2</v>
      </c>
      <c r="P1169" s="245">
        <v>-1.4</v>
      </c>
      <c r="Q1169" s="245">
        <v>-7.3</v>
      </c>
      <c r="R1169" s="246">
        <v>5</v>
      </c>
      <c r="S1169" s="233">
        <v>310</v>
      </c>
      <c r="T1169" s="247" t="s">
        <v>2429</v>
      </c>
      <c r="U1169" s="245">
        <v>-34</v>
      </c>
      <c r="V1169" s="245">
        <v>-32</v>
      </c>
      <c r="W1169" s="245">
        <v>-30</v>
      </c>
      <c r="X1169" s="245">
        <v>-28</v>
      </c>
      <c r="Y1169" s="245">
        <v>-16</v>
      </c>
      <c r="Z1169" s="245">
        <v>-39</v>
      </c>
      <c r="AA1169" s="245">
        <v>6.7</v>
      </c>
      <c r="AB1169" s="245">
        <v>140</v>
      </c>
      <c r="AC1169" s="245">
        <v>-7</v>
      </c>
      <c r="AD1169" s="245">
        <v>201</v>
      </c>
      <c r="AE1169" s="245">
        <v>-3.7</v>
      </c>
      <c r="AF1169" s="245">
        <v>217</v>
      </c>
      <c r="AG1169" s="245">
        <v>-2.7</v>
      </c>
      <c r="AH1169" s="245">
        <v>84</v>
      </c>
      <c r="AI1169" s="245">
        <v>83</v>
      </c>
      <c r="AJ1169" s="245">
        <v>194</v>
      </c>
      <c r="AK1169" s="245" t="s">
        <v>990</v>
      </c>
      <c r="AL1169" s="245">
        <v>4.7</v>
      </c>
      <c r="AM1169" s="246">
        <v>4</v>
      </c>
      <c r="AN1169" s="235">
        <v>310</v>
      </c>
      <c r="AO1169" s="247" t="s">
        <v>2430</v>
      </c>
      <c r="AP1169" s="247">
        <v>995</v>
      </c>
      <c r="AQ1169" s="247">
        <v>23.2</v>
      </c>
      <c r="AR1169" s="247">
        <v>27.3</v>
      </c>
      <c r="AS1169" s="247">
        <v>25.6</v>
      </c>
      <c r="AT1169" s="247">
        <v>38</v>
      </c>
      <c r="AU1169" s="247">
        <v>11.2</v>
      </c>
      <c r="AV1169" s="247">
        <v>67</v>
      </c>
      <c r="AW1169" s="247">
        <v>49</v>
      </c>
      <c r="AX1169" s="247">
        <v>366</v>
      </c>
      <c r="AY1169" s="247">
        <v>60</v>
      </c>
      <c r="AZ1169" s="247" t="s">
        <v>1005</v>
      </c>
      <c r="BA1169" s="248">
        <v>2.8</v>
      </c>
      <c r="BB1169" s="235">
        <v>279</v>
      </c>
      <c r="BC1169" s="247" t="s">
        <v>2428</v>
      </c>
      <c r="BD1169" s="247">
        <v>2.7</v>
      </c>
      <c r="BE1169" s="247">
        <v>2.8</v>
      </c>
      <c r="BF1169" s="247">
        <v>3.9</v>
      </c>
      <c r="BG1169" s="247">
        <v>6.7</v>
      </c>
      <c r="BH1169" s="247">
        <v>9.3000000000000007</v>
      </c>
      <c r="BI1169" s="247">
        <v>12.6</v>
      </c>
      <c r="BJ1169" s="247">
        <v>15</v>
      </c>
      <c r="BK1169" s="247">
        <v>13.9</v>
      </c>
      <c r="BL1169" s="247">
        <v>10.199999999999999</v>
      </c>
      <c r="BM1169" s="247">
        <v>7</v>
      </c>
      <c r="BN1169" s="247">
        <v>5</v>
      </c>
      <c r="BO1169" s="247">
        <v>3.6</v>
      </c>
      <c r="BP1169" s="248">
        <v>7.7</v>
      </c>
    </row>
    <row r="1170" spans="1:68" ht="14.25" customHeight="1">
      <c r="A1170" s="233">
        <v>513</v>
      </c>
      <c r="B1170" s="234">
        <v>243</v>
      </c>
      <c r="C1170" s="244" t="s">
        <v>928</v>
      </c>
      <c r="D1170" s="244" t="s">
        <v>1583</v>
      </c>
      <c r="E1170" s="244" t="s">
        <v>2431</v>
      </c>
      <c r="F1170" s="245">
        <v>-19.899999999999999</v>
      </c>
      <c r="G1170" s="245">
        <v>-18</v>
      </c>
      <c r="H1170" s="245">
        <v>-11.4</v>
      </c>
      <c r="I1170" s="245">
        <v>-0.1</v>
      </c>
      <c r="J1170" s="245">
        <v>9.1</v>
      </c>
      <c r="K1170" s="245">
        <v>15.5</v>
      </c>
      <c r="L1170" s="245">
        <v>17.7</v>
      </c>
      <c r="M1170" s="245">
        <v>14.8</v>
      </c>
      <c r="N1170" s="245">
        <v>9.1999999999999993</v>
      </c>
      <c r="O1170" s="245">
        <v>0.8</v>
      </c>
      <c r="P1170" s="245">
        <v>-9.8000000000000007</v>
      </c>
      <c r="Q1170" s="245">
        <v>-17.2</v>
      </c>
      <c r="R1170" s="246">
        <v>-0.8</v>
      </c>
      <c r="S1170" s="233">
        <v>243</v>
      </c>
      <c r="T1170" s="247" t="s">
        <v>2432</v>
      </c>
      <c r="U1170" s="245">
        <v>-46</v>
      </c>
      <c r="V1170" s="245">
        <v>-43</v>
      </c>
      <c r="W1170" s="245">
        <v>-42</v>
      </c>
      <c r="X1170" s="245">
        <v>-40</v>
      </c>
      <c r="Y1170" s="245">
        <v>-25</v>
      </c>
      <c r="Z1170" s="245">
        <v>-50</v>
      </c>
      <c r="AA1170" s="245">
        <v>9.4</v>
      </c>
      <c r="AB1170" s="245">
        <v>180</v>
      </c>
      <c r="AC1170" s="245">
        <v>-12.8</v>
      </c>
      <c r="AD1170" s="245">
        <v>234</v>
      </c>
      <c r="AE1170" s="245">
        <v>-8.8000000000000007</v>
      </c>
      <c r="AF1170" s="245">
        <v>251</v>
      </c>
      <c r="AG1170" s="245">
        <v>-7.6</v>
      </c>
      <c r="AH1170" s="245">
        <v>83</v>
      </c>
      <c r="AI1170" s="245">
        <v>81</v>
      </c>
      <c r="AJ1170" s="245">
        <v>157</v>
      </c>
      <c r="AK1170" s="245" t="s">
        <v>990</v>
      </c>
      <c r="AL1170" s="245">
        <v>4.5</v>
      </c>
      <c r="AM1170" s="246" t="s">
        <v>931</v>
      </c>
      <c r="AN1170" s="235">
        <v>243</v>
      </c>
      <c r="AO1170" s="247" t="s">
        <v>2433</v>
      </c>
      <c r="AP1170" s="247">
        <v>1000</v>
      </c>
      <c r="AQ1170" s="247">
        <v>21.1</v>
      </c>
      <c r="AR1170" s="247">
        <v>25.3</v>
      </c>
      <c r="AS1170" s="247">
        <v>23.5</v>
      </c>
      <c r="AT1170" s="247">
        <v>39</v>
      </c>
      <c r="AU1170" s="247">
        <v>11.7</v>
      </c>
      <c r="AV1170" s="247">
        <v>75</v>
      </c>
      <c r="AW1170" s="247">
        <v>62</v>
      </c>
      <c r="AX1170" s="247">
        <v>403</v>
      </c>
      <c r="AY1170" s="247">
        <v>79</v>
      </c>
      <c r="AZ1170" s="247" t="s">
        <v>959</v>
      </c>
      <c r="BA1170" s="248">
        <v>3.7</v>
      </c>
      <c r="BB1170" s="235">
        <v>214</v>
      </c>
      <c r="BC1170" s="247" t="s">
        <v>2431</v>
      </c>
      <c r="BD1170" s="247">
        <v>1.3</v>
      </c>
      <c r="BE1170" s="247">
        <v>1.5</v>
      </c>
      <c r="BF1170" s="247">
        <v>2.2999999999999998</v>
      </c>
      <c r="BG1170" s="247">
        <v>5</v>
      </c>
      <c r="BH1170" s="247">
        <v>7.7</v>
      </c>
      <c r="BI1170" s="247">
        <v>12.1</v>
      </c>
      <c r="BJ1170" s="247">
        <v>15.4</v>
      </c>
      <c r="BK1170" s="247">
        <v>13.7</v>
      </c>
      <c r="BL1170" s="247">
        <v>9.5</v>
      </c>
      <c r="BM1170" s="247">
        <v>5.5</v>
      </c>
      <c r="BN1170" s="247">
        <v>3</v>
      </c>
      <c r="BO1170" s="247">
        <v>1.7</v>
      </c>
      <c r="BP1170" s="248">
        <v>6.6</v>
      </c>
    </row>
    <row r="1171" spans="1:68" ht="14.25" customHeight="1">
      <c r="A1171" s="233">
        <v>514</v>
      </c>
      <c r="B1171" s="234">
        <v>334</v>
      </c>
      <c r="C1171" s="244" t="s">
        <v>928</v>
      </c>
      <c r="D1171" s="244" t="s">
        <v>1161</v>
      </c>
      <c r="E1171" s="244" t="s">
        <v>2434</v>
      </c>
      <c r="F1171" s="245">
        <v>-25.1</v>
      </c>
      <c r="G1171" s="245">
        <v>-24.4</v>
      </c>
      <c r="H1171" s="245">
        <v>-18</v>
      </c>
      <c r="I1171" s="245">
        <v>-8.1</v>
      </c>
      <c r="J1171" s="245">
        <v>-0.7</v>
      </c>
      <c r="K1171" s="245">
        <v>9.8000000000000007</v>
      </c>
      <c r="L1171" s="245">
        <v>15.8</v>
      </c>
      <c r="M1171" s="245">
        <v>12</v>
      </c>
      <c r="N1171" s="245">
        <v>6</v>
      </c>
      <c r="O1171" s="245">
        <v>-5</v>
      </c>
      <c r="P1171" s="245">
        <v>-16.8</v>
      </c>
      <c r="Q1171" s="245">
        <v>-23.1</v>
      </c>
      <c r="R1171" s="246">
        <v>-6.5</v>
      </c>
      <c r="S1171" s="233">
        <v>334</v>
      </c>
      <c r="T1171" s="247" t="s">
        <v>2435</v>
      </c>
      <c r="U1171" s="245">
        <v>-53</v>
      </c>
      <c r="V1171" s="245">
        <v>-50</v>
      </c>
      <c r="W1171" s="245">
        <v>-48</v>
      </c>
      <c r="X1171" s="245">
        <v>-46</v>
      </c>
      <c r="Y1171" s="245">
        <v>-30</v>
      </c>
      <c r="Z1171" s="245">
        <v>-55</v>
      </c>
      <c r="AA1171" s="245">
        <v>9.9</v>
      </c>
      <c r="AB1171" s="245">
        <v>228</v>
      </c>
      <c r="AC1171" s="245">
        <v>-15.8</v>
      </c>
      <c r="AD1171" s="245">
        <v>278</v>
      </c>
      <c r="AE1171" s="245">
        <v>-12.2</v>
      </c>
      <c r="AF1171" s="245">
        <v>294</v>
      </c>
      <c r="AG1171" s="245">
        <v>-11</v>
      </c>
      <c r="AH1171" s="245">
        <v>79</v>
      </c>
      <c r="AI1171" s="245">
        <v>79</v>
      </c>
      <c r="AJ1171" s="245">
        <v>123</v>
      </c>
      <c r="AK1171" s="245" t="s">
        <v>963</v>
      </c>
      <c r="AL1171" s="245">
        <v>5</v>
      </c>
      <c r="AM1171" s="246">
        <v>3.7</v>
      </c>
      <c r="AN1171" s="235">
        <v>334</v>
      </c>
      <c r="AO1171" s="247" t="s">
        <v>2436</v>
      </c>
      <c r="AP1171" s="247">
        <v>1000</v>
      </c>
      <c r="AQ1171" s="247">
        <v>18.8</v>
      </c>
      <c r="AR1171" s="247">
        <v>23.1</v>
      </c>
      <c r="AS1171" s="247">
        <v>21.2</v>
      </c>
      <c r="AT1171" s="247">
        <v>36</v>
      </c>
      <c r="AU1171" s="247">
        <v>10.5</v>
      </c>
      <c r="AV1171" s="247">
        <v>69</v>
      </c>
      <c r="AW1171" s="247">
        <v>56</v>
      </c>
      <c r="AX1171" s="247">
        <v>375</v>
      </c>
      <c r="AY1171" s="247">
        <v>86</v>
      </c>
      <c r="AZ1171" s="247" t="s">
        <v>959</v>
      </c>
      <c r="BA1171" s="248">
        <v>0</v>
      </c>
      <c r="BB1171" s="235">
        <v>302</v>
      </c>
      <c r="BC1171" s="247" t="s">
        <v>2434</v>
      </c>
      <c r="BD1171" s="247">
        <v>1</v>
      </c>
      <c r="BE1171" s="247">
        <v>10</v>
      </c>
      <c r="BF1171" s="247">
        <v>1.6</v>
      </c>
      <c r="BG1171" s="247">
        <v>2.9</v>
      </c>
      <c r="BH1171" s="247">
        <v>4.5</v>
      </c>
      <c r="BI1171" s="247">
        <v>8.6</v>
      </c>
      <c r="BJ1171" s="247">
        <v>12.5</v>
      </c>
      <c r="BK1171" s="247">
        <v>11</v>
      </c>
      <c r="BL1171" s="247">
        <v>8</v>
      </c>
      <c r="BM1171" s="247">
        <v>4.0999999999999996</v>
      </c>
      <c r="BN1171" s="247">
        <v>1.9</v>
      </c>
      <c r="BO1171" s="247">
        <v>1.2</v>
      </c>
      <c r="BP1171" s="248">
        <v>4.9000000000000004</v>
      </c>
    </row>
    <row r="1172" spans="1:68" ht="14.25" customHeight="1">
      <c r="A1172" s="233">
        <v>515</v>
      </c>
      <c r="B1172" s="234">
        <v>239</v>
      </c>
      <c r="C1172" s="244" t="s">
        <v>928</v>
      </c>
      <c r="D1172" s="244" t="s">
        <v>1119</v>
      </c>
      <c r="E1172" s="244" t="s">
        <v>2437</v>
      </c>
      <c r="F1172" s="245">
        <v>-19.600000000000001</v>
      </c>
      <c r="G1172" s="245">
        <v>-18</v>
      </c>
      <c r="H1172" s="245">
        <v>-11.1</v>
      </c>
      <c r="I1172" s="245">
        <v>1.2</v>
      </c>
      <c r="J1172" s="245">
        <v>10.7</v>
      </c>
      <c r="K1172" s="245">
        <v>16</v>
      </c>
      <c r="L1172" s="245">
        <v>18.7</v>
      </c>
      <c r="M1172" s="245">
        <v>15.6</v>
      </c>
      <c r="N1172" s="245">
        <v>10.1</v>
      </c>
      <c r="O1172" s="245">
        <v>1.4</v>
      </c>
      <c r="P1172" s="245">
        <v>-8.8000000000000007</v>
      </c>
      <c r="Q1172" s="245">
        <v>-16.399999999999999</v>
      </c>
      <c r="R1172" s="246">
        <v>0</v>
      </c>
      <c r="S1172" s="233">
        <v>239</v>
      </c>
      <c r="T1172" s="247" t="s">
        <v>2438</v>
      </c>
      <c r="U1172" s="245">
        <v>-43</v>
      </c>
      <c r="V1172" s="245">
        <v>-41</v>
      </c>
      <c r="W1172" s="245">
        <v>-40</v>
      </c>
      <c r="X1172" s="245">
        <v>-39</v>
      </c>
      <c r="Y1172" s="245">
        <v>-25</v>
      </c>
      <c r="Z1172" s="245">
        <v>-48</v>
      </c>
      <c r="AA1172" s="245">
        <v>9.6</v>
      </c>
      <c r="AB1172" s="245">
        <v>176</v>
      </c>
      <c r="AC1172" s="245">
        <v>-12.8</v>
      </c>
      <c r="AD1172" s="245">
        <v>229</v>
      </c>
      <c r="AE1172" s="245">
        <v>-8.9</v>
      </c>
      <c r="AF1172" s="245">
        <v>242</v>
      </c>
      <c r="AG1172" s="245">
        <v>-7.9</v>
      </c>
      <c r="AH1172" s="245">
        <v>83</v>
      </c>
      <c r="AI1172" s="245">
        <v>82</v>
      </c>
      <c r="AJ1172" s="245">
        <v>84</v>
      </c>
      <c r="AK1172" s="245" t="s">
        <v>971</v>
      </c>
      <c r="AL1172" s="245">
        <v>4.8</v>
      </c>
      <c r="AM1172" s="246">
        <v>4.9000000000000004</v>
      </c>
      <c r="AN1172" s="235">
        <v>239</v>
      </c>
      <c r="AO1172" s="247" t="s">
        <v>2439</v>
      </c>
      <c r="AP1172" s="247">
        <v>995</v>
      </c>
      <c r="AQ1172" s="247">
        <v>22.4</v>
      </c>
      <c r="AR1172" s="247">
        <v>26.6</v>
      </c>
      <c r="AS1172" s="247">
        <v>24.8</v>
      </c>
      <c r="AT1172" s="247">
        <v>40</v>
      </c>
      <c r="AU1172" s="247">
        <v>12.5</v>
      </c>
      <c r="AV1172" s="247">
        <v>71</v>
      </c>
      <c r="AW1172" s="247">
        <v>53</v>
      </c>
      <c r="AX1172" s="247">
        <v>286</v>
      </c>
      <c r="AY1172" s="247">
        <v>83</v>
      </c>
      <c r="AZ1172" s="247" t="s">
        <v>959</v>
      </c>
      <c r="BA1172" s="248">
        <v>3.9</v>
      </c>
      <c r="BB1172" s="235">
        <v>211</v>
      </c>
      <c r="BC1172" s="247" t="s">
        <v>2437</v>
      </c>
      <c r="BD1172" s="247">
        <v>1.4</v>
      </c>
      <c r="BE1172" s="247">
        <v>1.5</v>
      </c>
      <c r="BF1172" s="247">
        <v>2.6</v>
      </c>
      <c r="BG1172" s="247">
        <v>5.2</v>
      </c>
      <c r="BH1172" s="247">
        <v>7.4</v>
      </c>
      <c r="BI1172" s="247">
        <v>11.6</v>
      </c>
      <c r="BJ1172" s="247">
        <v>14.8</v>
      </c>
      <c r="BK1172" s="247">
        <v>12.8</v>
      </c>
      <c r="BL1172" s="247">
        <v>8.8000000000000007</v>
      </c>
      <c r="BM1172" s="247">
        <v>5.3</v>
      </c>
      <c r="BN1172" s="247">
        <v>3.1</v>
      </c>
      <c r="BO1172" s="247">
        <v>1.9</v>
      </c>
      <c r="BP1172" s="248">
        <v>6.4</v>
      </c>
    </row>
    <row r="1173" spans="1:68" ht="14.25" customHeight="1">
      <c r="A1173" s="233">
        <v>516</v>
      </c>
      <c r="B1173" s="234">
        <v>565</v>
      </c>
      <c r="C1173" s="249" t="s">
        <v>1074</v>
      </c>
      <c r="D1173" s="249" t="s">
        <v>1102</v>
      </c>
      <c r="E1173" s="244" t="s">
        <v>2440</v>
      </c>
      <c r="F1173" s="245"/>
      <c r="G1173" s="245"/>
      <c r="H1173" s="245"/>
      <c r="I1173" s="245"/>
      <c r="J1173" s="245"/>
      <c r="K1173" s="245"/>
      <c r="L1173" s="245"/>
      <c r="M1173" s="245"/>
      <c r="N1173" s="245"/>
      <c r="O1173" s="245"/>
      <c r="P1173" s="245"/>
      <c r="Q1173" s="245"/>
      <c r="R1173" s="246"/>
      <c r="S1173" s="250">
        <v>565</v>
      </c>
      <c r="T1173" s="247" t="s">
        <v>2440</v>
      </c>
      <c r="U1173" s="245">
        <v>-20</v>
      </c>
      <c r="V1173" s="245">
        <v>-16</v>
      </c>
      <c r="W1173" s="245">
        <v>-15</v>
      </c>
      <c r="X1173" s="245">
        <v>-12</v>
      </c>
      <c r="Y1173" s="245">
        <v>-5</v>
      </c>
      <c r="Z1173" s="245">
        <v>-27</v>
      </c>
      <c r="AA1173" s="245">
        <v>10</v>
      </c>
      <c r="AB1173" s="245">
        <v>0</v>
      </c>
      <c r="AC1173" s="245" t="s">
        <v>830</v>
      </c>
      <c r="AD1173" s="245">
        <v>104</v>
      </c>
      <c r="AE1173" s="245">
        <v>4.3</v>
      </c>
      <c r="AF1173" s="245">
        <v>125</v>
      </c>
      <c r="AG1173" s="245">
        <v>5.0999999999999996</v>
      </c>
      <c r="AH1173" s="245" t="s">
        <v>956</v>
      </c>
      <c r="AI1173" s="245">
        <v>69</v>
      </c>
      <c r="AJ1173" s="245">
        <v>205</v>
      </c>
      <c r="AK1173" s="245" t="s">
        <v>990</v>
      </c>
      <c r="AL1173" s="245">
        <v>3.3</v>
      </c>
      <c r="AM1173" s="246" t="s">
        <v>931</v>
      </c>
      <c r="AN1173" s="235">
        <v>566</v>
      </c>
      <c r="AO1173" s="247" t="s">
        <v>2441</v>
      </c>
      <c r="AP1173" s="247">
        <v>975</v>
      </c>
      <c r="AQ1173" s="247">
        <v>42</v>
      </c>
      <c r="AR1173" s="247">
        <v>36</v>
      </c>
      <c r="AS1173" s="247">
        <v>39.4</v>
      </c>
      <c r="AT1173" s="247">
        <v>48</v>
      </c>
      <c r="AU1173" s="247">
        <v>17.5</v>
      </c>
      <c r="AV1173" s="247">
        <v>23</v>
      </c>
      <c r="AW1173" s="247">
        <v>14</v>
      </c>
      <c r="AX1173" s="247">
        <v>60</v>
      </c>
      <c r="AY1173" s="247">
        <v>63</v>
      </c>
      <c r="AZ1173" s="247" t="s">
        <v>1005</v>
      </c>
      <c r="BA1173" s="248">
        <v>2.9</v>
      </c>
      <c r="BB1173" s="235"/>
      <c r="BC1173" s="247" t="s">
        <v>2440</v>
      </c>
      <c r="BD1173" s="247"/>
      <c r="BE1173" s="247"/>
      <c r="BF1173" s="247"/>
      <c r="BG1173" s="247"/>
      <c r="BH1173" s="247"/>
      <c r="BI1173" s="247"/>
      <c r="BJ1173" s="247"/>
      <c r="BK1173" s="247"/>
      <c r="BL1173" s="247"/>
      <c r="BM1173" s="247"/>
      <c r="BN1173" s="247"/>
      <c r="BO1173" s="247"/>
      <c r="BP1173" s="248"/>
    </row>
    <row r="1174" spans="1:68" ht="14.25" customHeight="1">
      <c r="A1174" s="233">
        <v>517</v>
      </c>
      <c r="B1174" s="234">
        <v>566</v>
      </c>
      <c r="C1174" s="249" t="s">
        <v>1074</v>
      </c>
      <c r="D1174" s="249" t="s">
        <v>2442</v>
      </c>
      <c r="E1174" s="244" t="s">
        <v>2443</v>
      </c>
      <c r="F1174" s="245"/>
      <c r="G1174" s="245"/>
      <c r="H1174" s="245"/>
      <c r="I1174" s="245"/>
      <c r="J1174" s="245"/>
      <c r="K1174" s="245"/>
      <c r="L1174" s="245"/>
      <c r="M1174" s="245"/>
      <c r="N1174" s="245"/>
      <c r="O1174" s="245"/>
      <c r="P1174" s="245"/>
      <c r="Q1174" s="245"/>
      <c r="R1174" s="246"/>
      <c r="S1174" s="250">
        <v>566</v>
      </c>
      <c r="T1174" s="247" t="s">
        <v>2443</v>
      </c>
      <c r="U1174" s="245">
        <v>-24</v>
      </c>
      <c r="V1174" s="245">
        <v>-21</v>
      </c>
      <c r="W1174" s="245">
        <v>-21</v>
      </c>
      <c r="X1174" s="245">
        <v>-17</v>
      </c>
      <c r="Y1174" s="245">
        <v>-8</v>
      </c>
      <c r="Z1174" s="245">
        <v>-33</v>
      </c>
      <c r="AA1174" s="245">
        <v>9.6</v>
      </c>
      <c r="AB1174" s="245">
        <v>81</v>
      </c>
      <c r="AC1174" s="245">
        <v>-0.8</v>
      </c>
      <c r="AD1174" s="245">
        <v>147</v>
      </c>
      <c r="AE1174" s="245">
        <v>-0.1</v>
      </c>
      <c r="AF1174" s="245">
        <v>160</v>
      </c>
      <c r="AG1174" s="245">
        <v>0.6</v>
      </c>
      <c r="AH1174" s="245" t="s">
        <v>956</v>
      </c>
      <c r="AI1174" s="245">
        <v>65</v>
      </c>
      <c r="AJ1174" s="245">
        <v>60</v>
      </c>
      <c r="AK1174" s="245" t="s">
        <v>982</v>
      </c>
      <c r="AL1174" s="245">
        <v>5.9</v>
      </c>
      <c r="AM1174" s="246" t="s">
        <v>931</v>
      </c>
      <c r="AN1174" s="235">
        <v>567</v>
      </c>
      <c r="AO1174" s="247" t="s">
        <v>2444</v>
      </c>
      <c r="AP1174" s="247">
        <v>1005</v>
      </c>
      <c r="AQ1174" s="247">
        <v>38</v>
      </c>
      <c r="AR1174" s="247">
        <v>32</v>
      </c>
      <c r="AS1174" s="247">
        <v>36.200000000000003</v>
      </c>
      <c r="AT1174" s="247">
        <v>46</v>
      </c>
      <c r="AU1174" s="247">
        <v>14.9</v>
      </c>
      <c r="AV1174" s="247">
        <v>41</v>
      </c>
      <c r="AW1174" s="247">
        <v>25</v>
      </c>
      <c r="AX1174" s="247">
        <v>49</v>
      </c>
      <c r="AY1174" s="247">
        <v>74</v>
      </c>
      <c r="AZ1174" s="247" t="s">
        <v>1005</v>
      </c>
      <c r="BA1174" s="248">
        <v>1.9</v>
      </c>
      <c r="BB1174" s="235"/>
      <c r="BC1174" s="247" t="s">
        <v>2443</v>
      </c>
      <c r="BD1174" s="247"/>
      <c r="BE1174" s="247"/>
      <c r="BF1174" s="247"/>
      <c r="BG1174" s="247"/>
      <c r="BH1174" s="247"/>
      <c r="BI1174" s="247"/>
      <c r="BJ1174" s="247"/>
      <c r="BK1174" s="247"/>
      <c r="BL1174" s="247"/>
      <c r="BM1174" s="247"/>
      <c r="BN1174" s="247"/>
      <c r="BO1174" s="247"/>
      <c r="BP1174" s="248"/>
    </row>
    <row r="1175" spans="1:68" ht="14.25" customHeight="1">
      <c r="A1175" s="233">
        <v>518</v>
      </c>
      <c r="B1175" s="234">
        <v>602</v>
      </c>
      <c r="C1175" s="244" t="s">
        <v>1015</v>
      </c>
      <c r="D1175" s="244" t="s">
        <v>2445</v>
      </c>
      <c r="E1175" s="244" t="s">
        <v>2446</v>
      </c>
      <c r="F1175" s="245">
        <v>-0.4</v>
      </c>
      <c r="G1175" s="245">
        <v>2</v>
      </c>
      <c r="H1175" s="245">
        <v>7.9</v>
      </c>
      <c r="I1175" s="245">
        <v>14.7</v>
      </c>
      <c r="J1175" s="245">
        <v>20.2</v>
      </c>
      <c r="K1175" s="245">
        <v>24.9</v>
      </c>
      <c r="L1175" s="245">
        <v>27.1</v>
      </c>
      <c r="M1175" s="245">
        <v>25.1</v>
      </c>
      <c r="N1175" s="245">
        <v>19.600000000000001</v>
      </c>
      <c r="O1175" s="245">
        <v>12.8</v>
      </c>
      <c r="P1175" s="245">
        <v>6.7</v>
      </c>
      <c r="Q1175" s="245">
        <v>2</v>
      </c>
      <c r="R1175" s="246">
        <v>13.6</v>
      </c>
      <c r="S1175" s="233">
        <v>591</v>
      </c>
      <c r="T1175" s="247" t="s">
        <v>2446</v>
      </c>
      <c r="U1175" s="245">
        <v>-19</v>
      </c>
      <c r="V1175" s="245">
        <v>-16</v>
      </c>
      <c r="W1175" s="245">
        <v>-16</v>
      </c>
      <c r="X1175" s="245" t="s">
        <v>965</v>
      </c>
      <c r="Y1175" s="245">
        <v>-4</v>
      </c>
      <c r="Z1175" s="245">
        <v>-30</v>
      </c>
      <c r="AA1175" s="245">
        <v>9.6</v>
      </c>
      <c r="AB1175" s="245">
        <v>30</v>
      </c>
      <c r="AC1175" s="245" t="s">
        <v>958</v>
      </c>
      <c r="AD1175" s="245">
        <v>129</v>
      </c>
      <c r="AE1175" s="245">
        <v>2.7</v>
      </c>
      <c r="AF1175" s="245" t="s">
        <v>933</v>
      </c>
      <c r="AG1175" s="245" t="s">
        <v>931</v>
      </c>
      <c r="AH1175" s="245" t="s">
        <v>956</v>
      </c>
      <c r="AI1175" s="245" t="s">
        <v>956</v>
      </c>
      <c r="AJ1175" s="245" t="s">
        <v>1018</v>
      </c>
      <c r="AK1175" s="245" t="s">
        <v>931</v>
      </c>
      <c r="AL1175" s="245">
        <v>2.1</v>
      </c>
      <c r="AM1175" s="246" t="s">
        <v>931</v>
      </c>
      <c r="AN1175" s="235">
        <v>592</v>
      </c>
      <c r="AO1175" s="247" t="s">
        <v>2447</v>
      </c>
      <c r="AP1175" s="247">
        <v>950</v>
      </c>
      <c r="AQ1175" s="247">
        <v>33</v>
      </c>
      <c r="AR1175" s="247">
        <v>37.5</v>
      </c>
      <c r="AS1175" s="247">
        <v>35.4</v>
      </c>
      <c r="AT1175" s="247">
        <v>45</v>
      </c>
      <c r="AU1175" s="247">
        <v>16.8</v>
      </c>
      <c r="AV1175" s="247" t="s">
        <v>958</v>
      </c>
      <c r="AW1175" s="247" t="s">
        <v>931</v>
      </c>
      <c r="AX1175" s="247" t="s">
        <v>931</v>
      </c>
      <c r="AY1175" s="247">
        <v>50</v>
      </c>
      <c r="AZ1175" s="247" t="s">
        <v>933</v>
      </c>
      <c r="BA1175" s="248">
        <v>1.4</v>
      </c>
      <c r="BB1175" s="235"/>
      <c r="BC1175" s="247" t="s">
        <v>2446</v>
      </c>
      <c r="BD1175" s="247"/>
      <c r="BE1175" s="247"/>
      <c r="BF1175" s="247"/>
      <c r="BG1175" s="247"/>
      <c r="BH1175" s="247"/>
      <c r="BI1175" s="247"/>
      <c r="BJ1175" s="247"/>
      <c r="BK1175" s="247"/>
      <c r="BL1175" s="247"/>
      <c r="BM1175" s="247"/>
      <c r="BN1175" s="247"/>
      <c r="BO1175" s="247"/>
      <c r="BP1175" s="248"/>
    </row>
    <row r="1176" spans="1:68" ht="14.25" customHeight="1">
      <c r="A1176" s="233">
        <v>519</v>
      </c>
      <c r="B1176" s="234">
        <v>487</v>
      </c>
      <c r="C1176" s="244" t="s">
        <v>1068</v>
      </c>
      <c r="D1176" s="244" t="s">
        <v>1068</v>
      </c>
      <c r="E1176" s="244" t="s">
        <v>2448</v>
      </c>
      <c r="F1176" s="245">
        <v>2.1</v>
      </c>
      <c r="G1176" s="245">
        <v>3.3</v>
      </c>
      <c r="H1176" s="245">
        <v>7.4</v>
      </c>
      <c r="I1176" s="245">
        <v>13.2</v>
      </c>
      <c r="J1176" s="245">
        <v>17.8</v>
      </c>
      <c r="K1176" s="245">
        <v>21.6</v>
      </c>
      <c r="L1176" s="245">
        <v>24.8</v>
      </c>
      <c r="M1176" s="245">
        <v>24.1</v>
      </c>
      <c r="N1176" s="245">
        <v>20</v>
      </c>
      <c r="O1176" s="245">
        <v>13.8</v>
      </c>
      <c r="P1176" s="245">
        <v>8.5</v>
      </c>
      <c r="Q1176" s="245">
        <v>4.2</v>
      </c>
      <c r="R1176" s="246">
        <v>13.4</v>
      </c>
      <c r="S1176" s="233">
        <v>487</v>
      </c>
      <c r="T1176" s="247" t="s">
        <v>2449</v>
      </c>
      <c r="U1176" s="245">
        <v>-14</v>
      </c>
      <c r="V1176" s="245">
        <v>-11</v>
      </c>
      <c r="W1176" s="245">
        <v>-10</v>
      </c>
      <c r="X1176" s="245">
        <v>-8</v>
      </c>
      <c r="Y1176" s="245">
        <v>1</v>
      </c>
      <c r="Z1176" s="245">
        <v>-22</v>
      </c>
      <c r="AA1176" s="245">
        <v>7.4</v>
      </c>
      <c r="AB1176" s="245">
        <v>0</v>
      </c>
      <c r="AC1176" s="245" t="s">
        <v>830</v>
      </c>
      <c r="AD1176" s="245">
        <v>121</v>
      </c>
      <c r="AE1176" s="245">
        <v>4.0999999999999996</v>
      </c>
      <c r="AF1176" s="245">
        <v>143</v>
      </c>
      <c r="AG1176" s="245">
        <v>5.3</v>
      </c>
      <c r="AH1176" s="245" t="s">
        <v>956</v>
      </c>
      <c r="AI1176" s="245">
        <v>57</v>
      </c>
      <c r="AJ1176" s="245">
        <v>120</v>
      </c>
      <c r="AK1176" s="245" t="s">
        <v>944</v>
      </c>
      <c r="AL1176" s="245" t="s">
        <v>931</v>
      </c>
      <c r="AM1176" s="246">
        <v>2.9</v>
      </c>
      <c r="AN1176" s="235">
        <v>487</v>
      </c>
      <c r="AO1176" s="247" t="s">
        <v>2450</v>
      </c>
      <c r="AP1176" s="247">
        <v>970</v>
      </c>
      <c r="AQ1176" s="247">
        <v>27</v>
      </c>
      <c r="AR1176" s="247">
        <v>34</v>
      </c>
      <c r="AS1176" s="247">
        <v>32.6</v>
      </c>
      <c r="AT1176" s="247">
        <v>41</v>
      </c>
      <c r="AU1176" s="247">
        <v>12</v>
      </c>
      <c r="AV1176" s="247">
        <v>58</v>
      </c>
      <c r="AW1176" s="247">
        <v>41</v>
      </c>
      <c r="AX1176" s="247" t="s">
        <v>931</v>
      </c>
      <c r="AY1176" s="247">
        <v>139</v>
      </c>
      <c r="AZ1176" s="247" t="s">
        <v>959</v>
      </c>
      <c r="BA1176" s="248">
        <v>0.9</v>
      </c>
      <c r="BB1176" s="235"/>
      <c r="BC1176" s="247" t="s">
        <v>2449</v>
      </c>
      <c r="BD1176" s="247"/>
      <c r="BE1176" s="247"/>
      <c r="BF1176" s="247"/>
      <c r="BG1176" s="247"/>
      <c r="BH1176" s="247"/>
      <c r="BI1176" s="247"/>
      <c r="BJ1176" s="247"/>
      <c r="BK1176" s="247"/>
      <c r="BL1176" s="247"/>
      <c r="BM1176" s="247"/>
      <c r="BN1176" s="247"/>
      <c r="BO1176" s="247"/>
      <c r="BP1176" s="248"/>
    </row>
    <row r="1177" spans="1:68" ht="14.25" customHeight="1">
      <c r="A1177" s="233">
        <v>520</v>
      </c>
      <c r="B1177" s="234">
        <v>315</v>
      </c>
      <c r="C1177" s="244" t="s">
        <v>928</v>
      </c>
      <c r="D1177" s="244" t="s">
        <v>1139</v>
      </c>
      <c r="E1177" s="244" t="s">
        <v>2451</v>
      </c>
      <c r="F1177" s="245">
        <v>-10.5</v>
      </c>
      <c r="G1177" s="245">
        <v>-9.4</v>
      </c>
      <c r="H1177" s="245">
        <v>-4.5999999999999996</v>
      </c>
      <c r="I1177" s="245">
        <v>4.0999999999999996</v>
      </c>
      <c r="J1177" s="245">
        <v>11.2</v>
      </c>
      <c r="K1177" s="245">
        <v>15.7</v>
      </c>
      <c r="L1177" s="245">
        <v>17.3</v>
      </c>
      <c r="M1177" s="245">
        <v>15.8</v>
      </c>
      <c r="N1177" s="245">
        <v>10.199999999999999</v>
      </c>
      <c r="O1177" s="245">
        <v>4</v>
      </c>
      <c r="P1177" s="245">
        <v>-1.8</v>
      </c>
      <c r="Q1177" s="245">
        <v>-6.6</v>
      </c>
      <c r="R1177" s="246">
        <v>3.8</v>
      </c>
      <c r="S1177" s="233">
        <v>315</v>
      </c>
      <c r="T1177" s="247" t="s">
        <v>2452</v>
      </c>
      <c r="U1177" s="245">
        <v>-37</v>
      </c>
      <c r="V1177" s="245">
        <v>-33</v>
      </c>
      <c r="W1177" s="245">
        <v>-33</v>
      </c>
      <c r="X1177" s="245">
        <v>-29</v>
      </c>
      <c r="Y1177" s="245">
        <v>-15</v>
      </c>
      <c r="Z1177" s="245">
        <v>-50</v>
      </c>
      <c r="AA1177" s="245">
        <v>7.2</v>
      </c>
      <c r="AB1177" s="245">
        <v>146</v>
      </c>
      <c r="AC1177" s="245">
        <v>-6.4</v>
      </c>
      <c r="AD1177" s="245">
        <v>218</v>
      </c>
      <c r="AE1177" s="245">
        <v>-3</v>
      </c>
      <c r="AF1177" s="245">
        <v>236</v>
      </c>
      <c r="AG1177" s="245">
        <v>-2</v>
      </c>
      <c r="AH1177" s="245">
        <v>85</v>
      </c>
      <c r="AI1177" s="245">
        <v>85</v>
      </c>
      <c r="AJ1177" s="245">
        <v>206</v>
      </c>
      <c r="AK1177" s="245" t="s">
        <v>971</v>
      </c>
      <c r="AL1177" s="245">
        <v>6.2</v>
      </c>
      <c r="AM1177" s="246">
        <v>4.0999999999999996</v>
      </c>
      <c r="AN1177" s="235">
        <v>315</v>
      </c>
      <c r="AO1177" s="247" t="s">
        <v>2453</v>
      </c>
      <c r="AP1177" s="247">
        <v>995</v>
      </c>
      <c r="AQ1177" s="247">
        <v>20.6</v>
      </c>
      <c r="AR1177" s="247">
        <v>24.8</v>
      </c>
      <c r="AS1177" s="247">
        <v>23</v>
      </c>
      <c r="AT1177" s="247">
        <v>36</v>
      </c>
      <c r="AU1177" s="247">
        <v>11.1</v>
      </c>
      <c r="AV1177" s="247">
        <v>75</v>
      </c>
      <c r="AW1177" s="247">
        <v>59</v>
      </c>
      <c r="AX1177" s="247">
        <v>444</v>
      </c>
      <c r="AY1177" s="247">
        <v>68</v>
      </c>
      <c r="AZ1177" s="247" t="s">
        <v>952</v>
      </c>
      <c r="BA1177" s="248">
        <v>0</v>
      </c>
      <c r="BB1177" s="235">
        <v>283</v>
      </c>
      <c r="BC1177" s="247" t="s">
        <v>2451</v>
      </c>
      <c r="BD1177" s="247">
        <v>2.8</v>
      </c>
      <c r="BE1177" s="247">
        <v>2.9</v>
      </c>
      <c r="BF1177" s="247">
        <v>3.8</v>
      </c>
      <c r="BG1177" s="247">
        <v>6.1</v>
      </c>
      <c r="BH1177" s="247">
        <v>9</v>
      </c>
      <c r="BI1177" s="247">
        <v>12.4</v>
      </c>
      <c r="BJ1177" s="247">
        <v>14.7</v>
      </c>
      <c r="BK1177" s="247">
        <v>13.9</v>
      </c>
      <c r="BL1177" s="247">
        <v>10.3</v>
      </c>
      <c r="BM1177" s="247">
        <v>7.1</v>
      </c>
      <c r="BN1177" s="247">
        <v>5</v>
      </c>
      <c r="BO1177" s="247">
        <v>3.7</v>
      </c>
      <c r="BP1177" s="248">
        <v>7.6</v>
      </c>
    </row>
    <row r="1178" spans="1:68" ht="14.25" customHeight="1">
      <c r="A1178" s="233">
        <v>521</v>
      </c>
      <c r="B1178" s="234">
        <v>553</v>
      </c>
      <c r="C1178" s="249" t="s">
        <v>1074</v>
      </c>
      <c r="D1178" s="249" t="s">
        <v>1075</v>
      </c>
      <c r="E1178" s="244" t="s">
        <v>2454</v>
      </c>
      <c r="F1178" s="245"/>
      <c r="G1178" s="245"/>
      <c r="H1178" s="245"/>
      <c r="I1178" s="245"/>
      <c r="J1178" s="245"/>
      <c r="K1178" s="245"/>
      <c r="L1178" s="245"/>
      <c r="M1178" s="245"/>
      <c r="N1178" s="245"/>
      <c r="O1178" s="245"/>
      <c r="P1178" s="245"/>
      <c r="Q1178" s="245"/>
      <c r="R1178" s="246"/>
      <c r="S1178" s="250">
        <v>553</v>
      </c>
      <c r="T1178" s="247" t="s">
        <v>2454</v>
      </c>
      <c r="U1178" s="245">
        <v>-20</v>
      </c>
      <c r="V1178" s="245">
        <v>-16</v>
      </c>
      <c r="W1178" s="245">
        <v>-15</v>
      </c>
      <c r="X1178" s="245">
        <v>-12</v>
      </c>
      <c r="Y1178" s="245">
        <v>-5</v>
      </c>
      <c r="Z1178" s="245">
        <v>-27</v>
      </c>
      <c r="AA1178" s="245">
        <v>10.6</v>
      </c>
      <c r="AB1178" s="245">
        <v>0</v>
      </c>
      <c r="AC1178" s="245" t="s">
        <v>830</v>
      </c>
      <c r="AD1178" s="245">
        <v>103</v>
      </c>
      <c r="AE1178" s="245">
        <v>3.8</v>
      </c>
      <c r="AF1178" s="245">
        <v>123</v>
      </c>
      <c r="AG1178" s="245">
        <v>4.7</v>
      </c>
      <c r="AH1178" s="245" t="s">
        <v>956</v>
      </c>
      <c r="AI1178" s="245">
        <v>63</v>
      </c>
      <c r="AJ1178" s="245">
        <v>110</v>
      </c>
      <c r="AK1178" s="245" t="s">
        <v>982</v>
      </c>
      <c r="AL1178" s="245">
        <v>4.8</v>
      </c>
      <c r="AM1178" s="246" t="s">
        <v>931</v>
      </c>
      <c r="AN1178" s="235">
        <v>554</v>
      </c>
      <c r="AO1178" s="247" t="s">
        <v>2455</v>
      </c>
      <c r="AP1178" s="247">
        <v>990</v>
      </c>
      <c r="AQ1178" s="247">
        <v>41</v>
      </c>
      <c r="AR1178" s="247">
        <v>35</v>
      </c>
      <c r="AS1178" s="247">
        <v>38.4</v>
      </c>
      <c r="AT1178" s="247">
        <v>48</v>
      </c>
      <c r="AU1178" s="247">
        <v>16.100000000000001</v>
      </c>
      <c r="AV1178" s="247">
        <v>30</v>
      </c>
      <c r="AW1178" s="247">
        <v>17</v>
      </c>
      <c r="AX1178" s="247">
        <v>57</v>
      </c>
      <c r="AY1178" s="247">
        <v>49</v>
      </c>
      <c r="AZ1178" s="247" t="s">
        <v>959</v>
      </c>
      <c r="BA1178" s="248">
        <v>2.7</v>
      </c>
      <c r="BB1178" s="235"/>
      <c r="BC1178" s="247" t="s">
        <v>2454</v>
      </c>
      <c r="BD1178" s="247"/>
      <c r="BE1178" s="247"/>
      <c r="BF1178" s="247"/>
      <c r="BG1178" s="247"/>
      <c r="BH1178" s="247"/>
      <c r="BI1178" s="247"/>
      <c r="BJ1178" s="247"/>
      <c r="BK1178" s="247"/>
      <c r="BL1178" s="247"/>
      <c r="BM1178" s="247"/>
      <c r="BN1178" s="247"/>
      <c r="BO1178" s="247"/>
      <c r="BP1178" s="248"/>
    </row>
    <row r="1179" spans="1:68" ht="14.25" customHeight="1">
      <c r="A1179" s="233">
        <v>522</v>
      </c>
      <c r="B1179" s="234">
        <v>488</v>
      </c>
      <c r="C1179" s="244" t="s">
        <v>1068</v>
      </c>
      <c r="D1179" s="244" t="s">
        <v>1068</v>
      </c>
      <c r="E1179" s="244" t="s">
        <v>2456</v>
      </c>
      <c r="F1179" s="245">
        <v>1</v>
      </c>
      <c r="G1179" s="245">
        <v>2.1</v>
      </c>
      <c r="H1179" s="245">
        <v>6.1</v>
      </c>
      <c r="I1179" s="245">
        <v>12.1</v>
      </c>
      <c r="J1179" s="245">
        <v>16.600000000000001</v>
      </c>
      <c r="K1179" s="245">
        <v>20.2</v>
      </c>
      <c r="L1179" s="245">
        <v>23.4</v>
      </c>
      <c r="M1179" s="245">
        <v>22.4</v>
      </c>
      <c r="N1179" s="245">
        <v>18.399999999999999</v>
      </c>
      <c r="O1179" s="245">
        <v>12.4</v>
      </c>
      <c r="P1179" s="245">
        <v>7.8</v>
      </c>
      <c r="Q1179" s="245">
        <v>3.3</v>
      </c>
      <c r="R1179" s="246">
        <v>12.2</v>
      </c>
      <c r="S1179" s="233">
        <v>488</v>
      </c>
      <c r="T1179" s="247" t="s">
        <v>2457</v>
      </c>
      <c r="U1179" s="245">
        <v>-13</v>
      </c>
      <c r="V1179" s="245">
        <v>-12</v>
      </c>
      <c r="W1179" s="245">
        <v>-11</v>
      </c>
      <c r="X1179" s="245">
        <v>-8</v>
      </c>
      <c r="Y1179" s="245">
        <v>2</v>
      </c>
      <c r="Z1179" s="245">
        <v>-23</v>
      </c>
      <c r="AA1179" s="245">
        <v>7.5</v>
      </c>
      <c r="AB1179" s="245">
        <v>0</v>
      </c>
      <c r="AC1179" s="245" t="s">
        <v>830</v>
      </c>
      <c r="AD1179" s="245">
        <v>133</v>
      </c>
      <c r="AE1179" s="245">
        <v>3.5</v>
      </c>
      <c r="AF1179" s="245">
        <v>157</v>
      </c>
      <c r="AG1179" s="245">
        <v>4.3</v>
      </c>
      <c r="AH1179" s="245" t="s">
        <v>956</v>
      </c>
      <c r="AI1179" s="245">
        <v>63</v>
      </c>
      <c r="AJ1179" s="245">
        <v>186</v>
      </c>
      <c r="AK1179" s="245" t="s">
        <v>950</v>
      </c>
      <c r="AL1179" s="245" t="s">
        <v>931</v>
      </c>
      <c r="AM1179" s="246">
        <v>2</v>
      </c>
      <c r="AN1179" s="235">
        <v>488</v>
      </c>
      <c r="AO1179" s="247" t="s">
        <v>2458</v>
      </c>
      <c r="AP1179" s="247" t="s">
        <v>965</v>
      </c>
      <c r="AQ1179" s="247">
        <v>26</v>
      </c>
      <c r="AR1179" s="247">
        <v>33</v>
      </c>
      <c r="AS1179" s="247">
        <v>30.9</v>
      </c>
      <c r="AT1179" s="247">
        <v>38</v>
      </c>
      <c r="AU1179" s="247">
        <v>11.4</v>
      </c>
      <c r="AV1179" s="247">
        <v>65</v>
      </c>
      <c r="AW1179" s="247">
        <v>50</v>
      </c>
      <c r="AX1179" s="247" t="s">
        <v>931</v>
      </c>
      <c r="AY1179" s="247">
        <v>100</v>
      </c>
      <c r="AZ1179" s="247" t="s">
        <v>952</v>
      </c>
      <c r="BA1179" s="248">
        <v>1</v>
      </c>
      <c r="BB1179" s="235"/>
      <c r="BC1179" s="247" t="s">
        <v>2457</v>
      </c>
      <c r="BD1179" s="247"/>
      <c r="BE1179" s="247"/>
      <c r="BF1179" s="247"/>
      <c r="BG1179" s="247"/>
      <c r="BH1179" s="247"/>
      <c r="BI1179" s="247"/>
      <c r="BJ1179" s="247"/>
      <c r="BK1179" s="247"/>
      <c r="BL1179" s="247"/>
      <c r="BM1179" s="247"/>
      <c r="BN1179" s="247"/>
      <c r="BO1179" s="247"/>
      <c r="BP1179" s="248"/>
    </row>
    <row r="1180" spans="1:68" ht="14.25" customHeight="1">
      <c r="A1180" s="233">
        <v>523</v>
      </c>
      <c r="B1180" s="234">
        <v>223</v>
      </c>
      <c r="C1180" s="244" t="s">
        <v>928</v>
      </c>
      <c r="D1180" s="244" t="s">
        <v>1246</v>
      </c>
      <c r="E1180" s="244" t="s">
        <v>2459</v>
      </c>
      <c r="F1180" s="245">
        <v>-7.8</v>
      </c>
      <c r="G1180" s="245">
        <v>-8.5</v>
      </c>
      <c r="H1180" s="245">
        <v>-6.3</v>
      </c>
      <c r="I1180" s="245">
        <v>-2.1</v>
      </c>
      <c r="J1180" s="245">
        <v>2.4</v>
      </c>
      <c r="K1180" s="245">
        <v>7.5</v>
      </c>
      <c r="L1180" s="245">
        <v>11.2</v>
      </c>
      <c r="M1180" s="245">
        <v>10.8</v>
      </c>
      <c r="N1180" s="245">
        <v>6.9</v>
      </c>
      <c r="O1180" s="245">
        <v>1.5</v>
      </c>
      <c r="P1180" s="245">
        <v>-2.8</v>
      </c>
      <c r="Q1180" s="245">
        <v>-5.8</v>
      </c>
      <c r="R1180" s="246">
        <v>0.6</v>
      </c>
      <c r="S1180" s="233">
        <v>223</v>
      </c>
      <c r="T1180" s="247" t="s">
        <v>2460</v>
      </c>
      <c r="U1180" s="245">
        <v>-26</v>
      </c>
      <c r="V1180" s="245">
        <v>-24</v>
      </c>
      <c r="W1180" s="245">
        <v>-23</v>
      </c>
      <c r="X1180" s="245">
        <v>-21</v>
      </c>
      <c r="Y1180" s="245">
        <v>-13</v>
      </c>
      <c r="Z1180" s="245">
        <v>-31</v>
      </c>
      <c r="AA1180" s="245">
        <v>6.8</v>
      </c>
      <c r="AB1180" s="245">
        <v>185</v>
      </c>
      <c r="AC1180" s="245">
        <v>-5.2</v>
      </c>
      <c r="AD1180" s="245">
        <v>286</v>
      </c>
      <c r="AE1180" s="245">
        <v>-2</v>
      </c>
      <c r="AF1180" s="245">
        <v>318</v>
      </c>
      <c r="AG1180" s="245">
        <v>-0.9</v>
      </c>
      <c r="AH1180" s="245">
        <v>79</v>
      </c>
      <c r="AI1180" s="245">
        <v>79</v>
      </c>
      <c r="AJ1180" s="245">
        <v>149</v>
      </c>
      <c r="AK1180" s="245" t="s">
        <v>963</v>
      </c>
      <c r="AL1180" s="245" t="s">
        <v>931</v>
      </c>
      <c r="AM1180" s="246">
        <v>7.5</v>
      </c>
      <c r="AN1180" s="235">
        <v>223</v>
      </c>
      <c r="AO1180" s="247" t="s">
        <v>2461</v>
      </c>
      <c r="AP1180" s="247">
        <v>1010</v>
      </c>
      <c r="AQ1180" s="247">
        <v>11.1</v>
      </c>
      <c r="AR1180" s="247">
        <v>15.8</v>
      </c>
      <c r="AS1180" s="247">
        <v>13.5</v>
      </c>
      <c r="AT1180" s="247">
        <v>35</v>
      </c>
      <c r="AU1180" s="247">
        <v>5.3</v>
      </c>
      <c r="AV1180" s="247">
        <v>78</v>
      </c>
      <c r="AW1180" s="247">
        <v>61</v>
      </c>
      <c r="AX1180" s="247">
        <v>323</v>
      </c>
      <c r="AY1180" s="247">
        <v>81</v>
      </c>
      <c r="AZ1180" s="247" t="s">
        <v>959</v>
      </c>
      <c r="BA1180" s="248" t="s">
        <v>934</v>
      </c>
      <c r="BB1180" s="235">
        <v>198</v>
      </c>
      <c r="BC1180" s="247" t="s">
        <v>2459</v>
      </c>
      <c r="BD1180" s="247">
        <v>2.9</v>
      </c>
      <c r="BE1180" s="247">
        <v>2.7</v>
      </c>
      <c r="BF1180" s="247">
        <v>3.2</v>
      </c>
      <c r="BG1180" s="247">
        <v>4.0999999999999996</v>
      </c>
      <c r="BH1180" s="247">
        <v>5.4</v>
      </c>
      <c r="BI1180" s="247">
        <v>7.8</v>
      </c>
      <c r="BJ1180" s="247">
        <v>10.199999999999999</v>
      </c>
      <c r="BK1180" s="247">
        <v>10.5</v>
      </c>
      <c r="BL1180" s="247">
        <v>8.1999999999999993</v>
      </c>
      <c r="BM1180" s="247">
        <v>5.7</v>
      </c>
      <c r="BN1180" s="247">
        <v>4.2</v>
      </c>
      <c r="BO1180" s="247">
        <v>3.4</v>
      </c>
      <c r="BP1180" s="248">
        <v>5.7</v>
      </c>
    </row>
    <row r="1181" spans="1:68" ht="14.25" customHeight="1">
      <c r="A1181" s="233">
        <v>524</v>
      </c>
      <c r="B1181" s="234">
        <v>599</v>
      </c>
      <c r="C1181" s="244" t="s">
        <v>1015</v>
      </c>
      <c r="D1181" s="244" t="s">
        <v>1424</v>
      </c>
      <c r="E1181" s="244" t="s">
        <v>2462</v>
      </c>
      <c r="F1181" s="245">
        <v>2.6</v>
      </c>
      <c r="G1181" s="245">
        <v>6</v>
      </c>
      <c r="H1181" s="245">
        <v>11.4</v>
      </c>
      <c r="I1181" s="245">
        <v>18.399999999999999</v>
      </c>
      <c r="J1181" s="245">
        <v>24.3</v>
      </c>
      <c r="K1181" s="245">
        <v>28.2</v>
      </c>
      <c r="L1181" s="245">
        <v>30.4</v>
      </c>
      <c r="M1181" s="245">
        <v>28.1</v>
      </c>
      <c r="N1181" s="245">
        <v>22.4</v>
      </c>
      <c r="O1181" s="245">
        <v>15.8</v>
      </c>
      <c r="P1181" s="245">
        <v>9.9</v>
      </c>
      <c r="Q1181" s="245">
        <v>5.0999999999999996</v>
      </c>
      <c r="R1181" s="246">
        <v>16.899999999999999</v>
      </c>
      <c r="S1181" s="233">
        <v>588</v>
      </c>
      <c r="T1181" s="247" t="s">
        <v>2462</v>
      </c>
      <c r="U1181" s="245">
        <v>-14</v>
      </c>
      <c r="V1181" s="245">
        <v>-12</v>
      </c>
      <c r="W1181" s="245">
        <v>-12</v>
      </c>
      <c r="X1181" s="245" t="s">
        <v>965</v>
      </c>
      <c r="Y1181" s="245">
        <v>-1</v>
      </c>
      <c r="Z1181" s="245">
        <v>-20</v>
      </c>
      <c r="AA1181" s="245">
        <v>10.4</v>
      </c>
      <c r="AB1181" s="245">
        <v>0</v>
      </c>
      <c r="AC1181" s="245" t="s">
        <v>830</v>
      </c>
      <c r="AD1181" s="245">
        <v>91</v>
      </c>
      <c r="AE1181" s="245">
        <v>4.5</v>
      </c>
      <c r="AF1181" s="245" t="s">
        <v>933</v>
      </c>
      <c r="AG1181" s="245" t="s">
        <v>931</v>
      </c>
      <c r="AH1181" s="245" t="s">
        <v>956</v>
      </c>
      <c r="AI1181" s="245" t="s">
        <v>956</v>
      </c>
      <c r="AJ1181" s="245" t="s">
        <v>1018</v>
      </c>
      <c r="AK1181" s="245" t="s">
        <v>931</v>
      </c>
      <c r="AL1181" s="245">
        <v>4</v>
      </c>
      <c r="AM1181" s="246" t="s">
        <v>931</v>
      </c>
      <c r="AN1181" s="235">
        <v>589</v>
      </c>
      <c r="AO1181" s="247" t="s">
        <v>2463</v>
      </c>
      <c r="AP1181" s="247">
        <v>970</v>
      </c>
      <c r="AQ1181" s="247">
        <v>38.200000000000003</v>
      </c>
      <c r="AR1181" s="247">
        <v>42.2</v>
      </c>
      <c r="AS1181" s="247">
        <v>39.4</v>
      </c>
      <c r="AT1181" s="247">
        <v>47</v>
      </c>
      <c r="AU1181" s="247">
        <v>18.7</v>
      </c>
      <c r="AV1181" s="247" t="s">
        <v>958</v>
      </c>
      <c r="AW1181" s="247" t="s">
        <v>2426</v>
      </c>
      <c r="AX1181" s="247" t="s">
        <v>931</v>
      </c>
      <c r="AY1181" s="247">
        <v>37</v>
      </c>
      <c r="AZ1181" s="247" t="s">
        <v>933</v>
      </c>
      <c r="BA1181" s="248">
        <v>0</v>
      </c>
      <c r="BB1181" s="235"/>
      <c r="BC1181" s="247" t="s">
        <v>2462</v>
      </c>
      <c r="BD1181" s="247"/>
      <c r="BE1181" s="247"/>
      <c r="BF1181" s="247"/>
      <c r="BG1181" s="247"/>
      <c r="BH1181" s="247"/>
      <c r="BI1181" s="247"/>
      <c r="BJ1181" s="247"/>
      <c r="BK1181" s="247"/>
      <c r="BL1181" s="247"/>
      <c r="BM1181" s="247"/>
      <c r="BN1181" s="247"/>
      <c r="BO1181" s="247"/>
      <c r="BP1181" s="248"/>
    </row>
    <row r="1182" spans="1:68" ht="14.25" customHeight="1">
      <c r="A1182" s="233">
        <v>525</v>
      </c>
      <c r="B1182" s="234">
        <v>638</v>
      </c>
      <c r="C1182" s="244" t="s">
        <v>953</v>
      </c>
      <c r="D1182" s="244" t="s">
        <v>2464</v>
      </c>
      <c r="E1182" s="244" t="s">
        <v>2465</v>
      </c>
      <c r="F1182" s="245">
        <v>-5.8</v>
      </c>
      <c r="G1182" s="245">
        <v>-4.2</v>
      </c>
      <c r="H1182" s="245">
        <v>0</v>
      </c>
      <c r="I1182" s="245">
        <v>7.4</v>
      </c>
      <c r="J1182" s="245">
        <v>13.3</v>
      </c>
      <c r="K1182" s="245">
        <v>16.2</v>
      </c>
      <c r="L1182" s="245">
        <v>17.399999999999999</v>
      </c>
      <c r="M1182" s="245">
        <v>16.8</v>
      </c>
      <c r="N1182" s="245">
        <v>12.9</v>
      </c>
      <c r="O1182" s="245">
        <v>7.4</v>
      </c>
      <c r="P1182" s="245">
        <v>1.8</v>
      </c>
      <c r="Q1182" s="245">
        <v>-2.9</v>
      </c>
      <c r="R1182" s="246">
        <v>6.7</v>
      </c>
      <c r="S1182" s="233">
        <v>627</v>
      </c>
      <c r="T1182" s="247" t="s">
        <v>2465</v>
      </c>
      <c r="U1182" s="245">
        <v>-25</v>
      </c>
      <c r="V1182" s="245">
        <v>-23</v>
      </c>
      <c r="W1182" s="245">
        <v>-22</v>
      </c>
      <c r="X1182" s="245">
        <v>-20</v>
      </c>
      <c r="Y1182" s="245">
        <v>-9</v>
      </c>
      <c r="Z1182" s="245">
        <v>-32</v>
      </c>
      <c r="AA1182" s="245" t="s">
        <v>956</v>
      </c>
      <c r="AB1182" s="245">
        <v>109</v>
      </c>
      <c r="AC1182" s="245">
        <v>-3.8</v>
      </c>
      <c r="AD1182" s="245">
        <v>183</v>
      </c>
      <c r="AE1182" s="245">
        <v>-0.7</v>
      </c>
      <c r="AF1182" s="245">
        <v>203</v>
      </c>
      <c r="AG1182" s="245">
        <v>0.2</v>
      </c>
      <c r="AH1182" s="245" t="s">
        <v>956</v>
      </c>
      <c r="AI1182" s="245" t="s">
        <v>956</v>
      </c>
      <c r="AJ1182" s="245">
        <v>175</v>
      </c>
      <c r="AK1182" s="245" t="s">
        <v>990</v>
      </c>
      <c r="AL1182" s="245" t="s">
        <v>931</v>
      </c>
      <c r="AM1182" s="246" t="s">
        <v>931</v>
      </c>
      <c r="AN1182" s="235">
        <v>628</v>
      </c>
      <c r="AO1182" s="247" t="s">
        <v>2466</v>
      </c>
      <c r="AP1182" s="247">
        <v>975</v>
      </c>
      <c r="AQ1182" s="247">
        <v>25</v>
      </c>
      <c r="AR1182" s="247">
        <v>21</v>
      </c>
      <c r="AS1182" s="247">
        <v>23</v>
      </c>
      <c r="AT1182" s="247">
        <v>37</v>
      </c>
      <c r="AU1182" s="247" t="s">
        <v>934</v>
      </c>
      <c r="AV1182" s="247" t="s">
        <v>958</v>
      </c>
      <c r="AW1182" s="247" t="s">
        <v>931</v>
      </c>
      <c r="AX1182" s="247" t="s">
        <v>931</v>
      </c>
      <c r="AY1182" s="247">
        <v>106</v>
      </c>
      <c r="AZ1182" s="247" t="s">
        <v>959</v>
      </c>
      <c r="BA1182" s="248">
        <v>1.3</v>
      </c>
      <c r="BB1182" s="235"/>
      <c r="BC1182" s="247" t="s">
        <v>2465</v>
      </c>
      <c r="BD1182" s="247"/>
      <c r="BE1182" s="247"/>
      <c r="BF1182" s="247"/>
      <c r="BG1182" s="247"/>
      <c r="BH1182" s="247"/>
      <c r="BI1182" s="247"/>
      <c r="BJ1182" s="247"/>
      <c r="BK1182" s="247"/>
      <c r="BL1182" s="247"/>
      <c r="BM1182" s="247"/>
      <c r="BN1182" s="247"/>
      <c r="BO1182" s="247"/>
      <c r="BP1182" s="248"/>
    </row>
    <row r="1183" spans="1:68" ht="14.25" customHeight="1">
      <c r="A1183" s="233">
        <v>526</v>
      </c>
      <c r="B1183" s="234">
        <v>224</v>
      </c>
      <c r="C1183" s="244" t="s">
        <v>928</v>
      </c>
      <c r="D1183" s="244" t="s">
        <v>1246</v>
      </c>
      <c r="E1183" s="244" t="s">
        <v>2467</v>
      </c>
      <c r="F1183" s="245">
        <v>-9.9</v>
      </c>
      <c r="G1183" s="245">
        <v>-11.1</v>
      </c>
      <c r="H1183" s="245">
        <v>-8.8000000000000007</v>
      </c>
      <c r="I1183" s="245">
        <v>-3.6</v>
      </c>
      <c r="J1183" s="245">
        <v>0.7</v>
      </c>
      <c r="K1183" s="245">
        <v>5.4</v>
      </c>
      <c r="L1183" s="245">
        <v>9</v>
      </c>
      <c r="M1183" s="245">
        <v>9.3000000000000007</v>
      </c>
      <c r="N1183" s="245">
        <v>6.4</v>
      </c>
      <c r="O1183" s="245">
        <v>0.9</v>
      </c>
      <c r="P1183" s="245">
        <v>-3.3</v>
      </c>
      <c r="Q1183" s="245">
        <v>-6.2</v>
      </c>
      <c r="R1183" s="246">
        <v>-0.9</v>
      </c>
      <c r="S1183" s="233">
        <v>224</v>
      </c>
      <c r="T1183" s="247" t="s">
        <v>2468</v>
      </c>
      <c r="U1183" s="245">
        <v>-29</v>
      </c>
      <c r="V1183" s="245">
        <v>-27</v>
      </c>
      <c r="W1183" s="245">
        <v>-24</v>
      </c>
      <c r="X1183" s="245">
        <v>-22</v>
      </c>
      <c r="Y1183" s="245">
        <v>-16</v>
      </c>
      <c r="Z1183" s="245">
        <v>-38</v>
      </c>
      <c r="AA1183" s="245">
        <v>6.5</v>
      </c>
      <c r="AB1183" s="245">
        <v>200</v>
      </c>
      <c r="AC1183" s="245">
        <v>-6.3</v>
      </c>
      <c r="AD1183" s="245">
        <v>312</v>
      </c>
      <c r="AE1183" s="245">
        <v>-2.5</v>
      </c>
      <c r="AF1183" s="245">
        <v>365</v>
      </c>
      <c r="AG1183" s="245">
        <v>-0.9</v>
      </c>
      <c r="AH1183" s="245">
        <v>87</v>
      </c>
      <c r="AI1183" s="245">
        <v>87</v>
      </c>
      <c r="AJ1183" s="245">
        <v>134</v>
      </c>
      <c r="AK1183" s="245" t="s">
        <v>971</v>
      </c>
      <c r="AL1183" s="245" t="s">
        <v>931</v>
      </c>
      <c r="AM1183" s="246">
        <v>7.1</v>
      </c>
      <c r="AN1183" s="235">
        <v>224</v>
      </c>
      <c r="AO1183" s="247" t="s">
        <v>2469</v>
      </c>
      <c r="AP1183" s="247">
        <v>1005</v>
      </c>
      <c r="AQ1183" s="247">
        <v>11.1</v>
      </c>
      <c r="AR1183" s="247">
        <v>15.8</v>
      </c>
      <c r="AS1183" s="247">
        <v>13.5</v>
      </c>
      <c r="AT1183" s="247">
        <v>34</v>
      </c>
      <c r="AU1183" s="247">
        <v>7.9</v>
      </c>
      <c r="AV1183" s="247">
        <v>85</v>
      </c>
      <c r="AW1183" s="247">
        <v>80</v>
      </c>
      <c r="AX1183" s="247">
        <v>302</v>
      </c>
      <c r="AY1183" s="247">
        <v>62</v>
      </c>
      <c r="AZ1183" s="247" t="s">
        <v>1005</v>
      </c>
      <c r="BA1183" s="248" t="s">
        <v>934</v>
      </c>
      <c r="BB1183" s="235">
        <v>199</v>
      </c>
      <c r="BC1183" s="247" t="s">
        <v>2467</v>
      </c>
      <c r="BD1183" s="247">
        <v>2.8</v>
      </c>
      <c r="BE1183" s="247">
        <v>2.6</v>
      </c>
      <c r="BF1183" s="247">
        <v>3.1</v>
      </c>
      <c r="BG1183" s="247">
        <v>4</v>
      </c>
      <c r="BH1183" s="247">
        <v>5.4</v>
      </c>
      <c r="BI1183" s="247">
        <v>7.7</v>
      </c>
      <c r="BJ1183" s="247">
        <v>10</v>
      </c>
      <c r="BK1183" s="247">
        <v>10.4</v>
      </c>
      <c r="BL1183" s="247">
        <v>8.5</v>
      </c>
      <c r="BM1183" s="247">
        <v>5.8</v>
      </c>
      <c r="BN1183" s="247">
        <v>4.5</v>
      </c>
      <c r="BO1183" s="247">
        <v>3.6</v>
      </c>
      <c r="BP1183" s="248">
        <v>5.7</v>
      </c>
    </row>
    <row r="1184" spans="1:68" ht="14.25" customHeight="1">
      <c r="A1184" s="233">
        <v>527</v>
      </c>
      <c r="B1184" s="234">
        <v>144</v>
      </c>
      <c r="C1184" s="244" t="s">
        <v>928</v>
      </c>
      <c r="D1184" s="244" t="s">
        <v>1677</v>
      </c>
      <c r="E1184" s="244" t="s">
        <v>2470</v>
      </c>
      <c r="F1184" s="245">
        <v>-17.399999999999999</v>
      </c>
      <c r="G1184" s="245">
        <v>-15.9</v>
      </c>
      <c r="H1184" s="245">
        <v>-8.5</v>
      </c>
      <c r="I1184" s="245">
        <v>0.7</v>
      </c>
      <c r="J1184" s="245">
        <v>8.8000000000000007</v>
      </c>
      <c r="K1184" s="245">
        <v>15.7</v>
      </c>
      <c r="L1184" s="245">
        <v>17.899999999999999</v>
      </c>
      <c r="M1184" s="245">
        <v>14.8</v>
      </c>
      <c r="N1184" s="245">
        <v>9</v>
      </c>
      <c r="O1184" s="245">
        <v>1.2</v>
      </c>
      <c r="P1184" s="245">
        <v>-9</v>
      </c>
      <c r="Q1184" s="245">
        <v>-15.5</v>
      </c>
      <c r="R1184" s="246">
        <v>0.2</v>
      </c>
      <c r="S1184" s="233">
        <v>144</v>
      </c>
      <c r="T1184" s="247" t="s">
        <v>2471</v>
      </c>
      <c r="U1184" s="245">
        <v>-44</v>
      </c>
      <c r="V1184" s="245">
        <v>-43</v>
      </c>
      <c r="W1184" s="245">
        <v>-42</v>
      </c>
      <c r="X1184" s="245">
        <v>-40</v>
      </c>
      <c r="Y1184" s="245">
        <v>-22</v>
      </c>
      <c r="Z1184" s="245">
        <v>-48</v>
      </c>
      <c r="AA1184" s="245">
        <v>10.4</v>
      </c>
      <c r="AB1184" s="245">
        <v>176</v>
      </c>
      <c r="AC1184" s="245">
        <v>-11.2</v>
      </c>
      <c r="AD1184" s="245">
        <v>236</v>
      </c>
      <c r="AE1184" s="245">
        <v>-7.3</v>
      </c>
      <c r="AF1184" s="245">
        <v>253</v>
      </c>
      <c r="AG1184" s="245">
        <v>-6.2</v>
      </c>
      <c r="AH1184" s="245">
        <v>76</v>
      </c>
      <c r="AI1184" s="245">
        <v>72</v>
      </c>
      <c r="AJ1184" s="245">
        <v>84</v>
      </c>
      <c r="AK1184" s="245" t="s">
        <v>971</v>
      </c>
      <c r="AL1184" s="245" t="s">
        <v>931</v>
      </c>
      <c r="AM1184" s="246" t="s">
        <v>931</v>
      </c>
      <c r="AN1184" s="235">
        <v>144</v>
      </c>
      <c r="AO1184" s="247" t="s">
        <v>2472</v>
      </c>
      <c r="AP1184" s="247">
        <v>990</v>
      </c>
      <c r="AQ1184" s="247">
        <v>21.9</v>
      </c>
      <c r="AR1184" s="247">
        <v>26.1</v>
      </c>
      <c r="AS1184" s="247">
        <v>24.3</v>
      </c>
      <c r="AT1184" s="247">
        <v>37</v>
      </c>
      <c r="AU1184" s="247">
        <v>13.1</v>
      </c>
      <c r="AV1184" s="247">
        <v>75</v>
      </c>
      <c r="AW1184" s="247">
        <v>59</v>
      </c>
      <c r="AX1184" s="247">
        <v>389</v>
      </c>
      <c r="AY1184" s="247">
        <v>78</v>
      </c>
      <c r="AZ1184" s="247" t="s">
        <v>978</v>
      </c>
      <c r="BA1184" s="248" t="s">
        <v>934</v>
      </c>
      <c r="BB1184" s="235">
        <v>127</v>
      </c>
      <c r="BC1184" s="247" t="s">
        <v>2470</v>
      </c>
      <c r="BD1184" s="247">
        <v>1.5</v>
      </c>
      <c r="BE1184" s="247">
        <v>1.6</v>
      </c>
      <c r="BF1184" s="247">
        <v>2.5</v>
      </c>
      <c r="BG1184" s="247">
        <v>4.5</v>
      </c>
      <c r="BH1184" s="247">
        <v>6.8</v>
      </c>
      <c r="BI1184" s="247">
        <v>11.9</v>
      </c>
      <c r="BJ1184" s="247">
        <v>15.1</v>
      </c>
      <c r="BK1184" s="247">
        <v>13.1</v>
      </c>
      <c r="BL1184" s="247">
        <v>8.6</v>
      </c>
      <c r="BM1184" s="247">
        <v>5</v>
      </c>
      <c r="BN1184" s="247">
        <v>2.8</v>
      </c>
      <c r="BO1184" s="247">
        <v>1.8</v>
      </c>
      <c r="BP1184" s="248">
        <v>6.3</v>
      </c>
    </row>
    <row r="1185" spans="1:68" ht="14.25" customHeight="1">
      <c r="A1185" s="233">
        <v>528</v>
      </c>
      <c r="B1185" s="234">
        <v>199</v>
      </c>
      <c r="C1185" s="244" t="s">
        <v>928</v>
      </c>
      <c r="D1185" s="244" t="s">
        <v>2273</v>
      </c>
      <c r="E1185" s="244" t="s">
        <v>2473</v>
      </c>
      <c r="F1185" s="245">
        <v>-10.5</v>
      </c>
      <c r="G1185" s="245">
        <v>-9.3000000000000007</v>
      </c>
      <c r="H1185" s="245">
        <v>-4.7</v>
      </c>
      <c r="I1185" s="245">
        <v>2.8</v>
      </c>
      <c r="J1185" s="245">
        <v>9.6999999999999993</v>
      </c>
      <c r="K1185" s="245">
        <v>14.7</v>
      </c>
      <c r="L1185" s="245">
        <v>16.600000000000001</v>
      </c>
      <c r="M1185" s="245">
        <v>14.8</v>
      </c>
      <c r="N1185" s="245">
        <v>9.5</v>
      </c>
      <c r="O1185" s="245">
        <v>3.6</v>
      </c>
      <c r="P1185" s="245">
        <v>-1.8</v>
      </c>
      <c r="Q1185" s="245">
        <v>-6.6</v>
      </c>
      <c r="R1185" s="246">
        <v>3.2</v>
      </c>
      <c r="S1185" s="233">
        <v>199</v>
      </c>
      <c r="T1185" s="247" t="s">
        <v>2474</v>
      </c>
      <c r="U1185" s="245">
        <v>-37</v>
      </c>
      <c r="V1185" s="245">
        <v>-34</v>
      </c>
      <c r="W1185" s="245">
        <v>-32</v>
      </c>
      <c r="X1185" s="245">
        <v>-29</v>
      </c>
      <c r="Y1185" s="245">
        <v>-15</v>
      </c>
      <c r="Z1185" s="245">
        <v>-51</v>
      </c>
      <c r="AA1185" s="245">
        <v>7.3</v>
      </c>
      <c r="AB1185" s="245">
        <v>150</v>
      </c>
      <c r="AC1185" s="245">
        <v>-6.3</v>
      </c>
      <c r="AD1185" s="245">
        <v>227</v>
      </c>
      <c r="AE1185" s="245">
        <v>-2.8</v>
      </c>
      <c r="AF1185" s="245">
        <v>247</v>
      </c>
      <c r="AG1185" s="245">
        <v>-1.8</v>
      </c>
      <c r="AH1185" s="245">
        <v>85</v>
      </c>
      <c r="AI1185" s="245">
        <v>85</v>
      </c>
      <c r="AJ1185" s="245">
        <v>210</v>
      </c>
      <c r="AK1185" s="245" t="s">
        <v>971</v>
      </c>
      <c r="AL1185" s="245">
        <v>5.5</v>
      </c>
      <c r="AM1185" s="246">
        <v>3.6</v>
      </c>
      <c r="AN1185" s="235">
        <v>198</v>
      </c>
      <c r="AO1185" s="247" t="s">
        <v>2475</v>
      </c>
      <c r="AP1185" s="247">
        <v>1005</v>
      </c>
      <c r="AQ1185" s="247">
        <v>20.100000000000001</v>
      </c>
      <c r="AR1185" s="247">
        <v>24.4</v>
      </c>
      <c r="AS1185" s="247">
        <v>22.5</v>
      </c>
      <c r="AT1185" s="247">
        <v>36</v>
      </c>
      <c r="AU1185" s="247">
        <v>11.9</v>
      </c>
      <c r="AV1185" s="247">
        <v>75</v>
      </c>
      <c r="AW1185" s="247">
        <v>59</v>
      </c>
      <c r="AX1185" s="247">
        <v>467</v>
      </c>
      <c r="AY1185" s="247">
        <v>75</v>
      </c>
      <c r="AZ1185" s="247" t="s">
        <v>978</v>
      </c>
      <c r="BA1185" s="248">
        <v>0</v>
      </c>
      <c r="BB1185" s="235">
        <v>174</v>
      </c>
      <c r="BC1185" s="247" t="s">
        <v>2473</v>
      </c>
      <c r="BD1185" s="247">
        <v>2.9</v>
      </c>
      <c r="BE1185" s="247">
        <v>3</v>
      </c>
      <c r="BF1185" s="247">
        <v>3.6</v>
      </c>
      <c r="BG1185" s="247">
        <v>5.5</v>
      </c>
      <c r="BH1185" s="247">
        <v>7.9</v>
      </c>
      <c r="BI1185" s="247">
        <v>11.5</v>
      </c>
      <c r="BJ1185" s="247">
        <v>14</v>
      </c>
      <c r="BK1185" s="247">
        <v>13.5</v>
      </c>
      <c r="BL1185" s="247">
        <v>10.199999999999999</v>
      </c>
      <c r="BM1185" s="247">
        <v>7.1</v>
      </c>
      <c r="BN1185" s="247">
        <v>5.0999999999999996</v>
      </c>
      <c r="BO1185" s="247">
        <v>3.8</v>
      </c>
      <c r="BP1185" s="248">
        <v>7.3</v>
      </c>
    </row>
    <row r="1186" spans="1:68" ht="14.25" customHeight="1">
      <c r="A1186" s="233">
        <v>529</v>
      </c>
      <c r="B1186" s="234">
        <v>168</v>
      </c>
      <c r="C1186" s="244" t="s">
        <v>928</v>
      </c>
      <c r="D1186" s="244" t="s">
        <v>1791</v>
      </c>
      <c r="E1186" s="244" t="s">
        <v>2476</v>
      </c>
      <c r="F1186" s="245">
        <v>-3.5</v>
      </c>
      <c r="G1186" s="245">
        <v>-2.1</v>
      </c>
      <c r="H1186" s="245">
        <v>2.8</v>
      </c>
      <c r="I1186" s="245">
        <v>11.1</v>
      </c>
      <c r="J1186" s="245">
        <v>16.600000000000001</v>
      </c>
      <c r="K1186" s="245">
        <v>20.8</v>
      </c>
      <c r="L1186" s="245">
        <v>23.2</v>
      </c>
      <c r="M1186" s="245">
        <v>22.6</v>
      </c>
      <c r="N1186" s="245">
        <v>17.3</v>
      </c>
      <c r="O1186" s="245">
        <v>10.1</v>
      </c>
      <c r="P1186" s="245">
        <v>4.8</v>
      </c>
      <c r="Q1186" s="245">
        <v>-0.1</v>
      </c>
      <c r="R1186" s="246">
        <v>10.3</v>
      </c>
      <c r="S1186" s="233">
        <v>168</v>
      </c>
      <c r="T1186" s="247" t="s">
        <v>2477</v>
      </c>
      <c r="U1186" s="245">
        <v>-28</v>
      </c>
      <c r="V1186" s="245">
        <v>-25</v>
      </c>
      <c r="W1186" s="245">
        <v>-24</v>
      </c>
      <c r="X1186" s="245">
        <v>-22</v>
      </c>
      <c r="Y1186" s="245">
        <v>-8</v>
      </c>
      <c r="Z1186" s="245">
        <v>-32</v>
      </c>
      <c r="AA1186" s="245">
        <v>6.4</v>
      </c>
      <c r="AB1186" s="245">
        <v>74</v>
      </c>
      <c r="AC1186" s="245">
        <v>-2.1</v>
      </c>
      <c r="AD1186" s="245">
        <v>158</v>
      </c>
      <c r="AE1186" s="245">
        <v>1.1000000000000001</v>
      </c>
      <c r="AF1186" s="245">
        <v>177</v>
      </c>
      <c r="AG1186" s="245">
        <v>1.9</v>
      </c>
      <c r="AH1186" s="245">
        <v>85</v>
      </c>
      <c r="AI1186" s="245">
        <v>82</v>
      </c>
      <c r="AJ1186" s="245">
        <v>243</v>
      </c>
      <c r="AK1186" s="245" t="s">
        <v>982</v>
      </c>
      <c r="AL1186" s="245">
        <v>6.8</v>
      </c>
      <c r="AM1186" s="246">
        <v>5.2</v>
      </c>
      <c r="AN1186" s="235">
        <v>168</v>
      </c>
      <c r="AO1186" s="247" t="s">
        <v>2478</v>
      </c>
      <c r="AP1186" s="247">
        <v>1005</v>
      </c>
      <c r="AQ1186" s="247">
        <v>27.6</v>
      </c>
      <c r="AR1186" s="247">
        <v>31.5</v>
      </c>
      <c r="AS1186" s="247">
        <v>30</v>
      </c>
      <c r="AT1186" s="247">
        <v>42</v>
      </c>
      <c r="AU1186" s="247">
        <v>13.2</v>
      </c>
      <c r="AV1186" s="247">
        <v>59</v>
      </c>
      <c r="AW1186" s="247">
        <v>43</v>
      </c>
      <c r="AX1186" s="247">
        <v>360</v>
      </c>
      <c r="AY1186" s="247">
        <v>92</v>
      </c>
      <c r="AZ1186" s="247" t="s">
        <v>1038</v>
      </c>
      <c r="BA1186" s="248">
        <v>0</v>
      </c>
      <c r="BB1186" s="235">
        <v>147</v>
      </c>
      <c r="BC1186" s="247" t="s">
        <v>2476</v>
      </c>
      <c r="BD1186" s="247">
        <v>4.5</v>
      </c>
      <c r="BE1186" s="247">
        <v>4.9000000000000004</v>
      </c>
      <c r="BF1186" s="247">
        <v>5.9</v>
      </c>
      <c r="BG1186" s="247">
        <v>8.3000000000000007</v>
      </c>
      <c r="BH1186" s="247">
        <v>11.9</v>
      </c>
      <c r="BI1186" s="247">
        <v>15.2</v>
      </c>
      <c r="BJ1186" s="247">
        <v>16.399999999999999</v>
      </c>
      <c r="BK1186" s="247">
        <v>15.6</v>
      </c>
      <c r="BL1186" s="247">
        <v>12.1</v>
      </c>
      <c r="BM1186" s="247">
        <v>9.4</v>
      </c>
      <c r="BN1186" s="247">
        <v>7.5</v>
      </c>
      <c r="BO1186" s="247">
        <v>5.7</v>
      </c>
      <c r="BP1186" s="248">
        <v>9.8000000000000007</v>
      </c>
    </row>
    <row r="1187" spans="1:68" ht="14.25" customHeight="1">
      <c r="A1187" s="233">
        <v>530</v>
      </c>
      <c r="B1187" s="234">
        <v>335</v>
      </c>
      <c r="C1187" s="244" t="s">
        <v>928</v>
      </c>
      <c r="D1187" s="244" t="s">
        <v>1161</v>
      </c>
      <c r="E1187" s="244" t="s">
        <v>235</v>
      </c>
      <c r="F1187" s="245">
        <v>-19.7</v>
      </c>
      <c r="G1187" s="245">
        <v>-17.5</v>
      </c>
      <c r="H1187" s="245">
        <v>-9.1</v>
      </c>
      <c r="I1187" s="245">
        <v>1.6</v>
      </c>
      <c r="J1187" s="245">
        <v>9.6</v>
      </c>
      <c r="K1187" s="245">
        <v>15.2</v>
      </c>
      <c r="L1187" s="245">
        <v>18.3</v>
      </c>
      <c r="M1187" s="245">
        <v>14.6</v>
      </c>
      <c r="N1187" s="245">
        <v>9.3000000000000007</v>
      </c>
      <c r="O1187" s="245">
        <v>0</v>
      </c>
      <c r="P1187" s="245">
        <v>-8.4</v>
      </c>
      <c r="Q1187" s="245">
        <v>-15.6</v>
      </c>
      <c r="R1187" s="246">
        <v>-0.1</v>
      </c>
      <c r="S1187" s="233">
        <v>335</v>
      </c>
      <c r="T1187" s="247" t="s">
        <v>2479</v>
      </c>
      <c r="U1187" s="245">
        <v>-47</v>
      </c>
      <c r="V1187" s="245">
        <v>-43</v>
      </c>
      <c r="W1187" s="245">
        <v>-44</v>
      </c>
      <c r="X1187" s="245">
        <v>-39</v>
      </c>
      <c r="Y1187" s="245">
        <v>-25</v>
      </c>
      <c r="Z1187" s="245">
        <v>-52</v>
      </c>
      <c r="AA1187" s="245">
        <v>9.5</v>
      </c>
      <c r="AB1187" s="245">
        <v>177</v>
      </c>
      <c r="AC1187" s="245">
        <v>-11.8</v>
      </c>
      <c r="AD1187" s="245">
        <v>232</v>
      </c>
      <c r="AE1187" s="245">
        <v>-8.1</v>
      </c>
      <c r="AF1187" s="245">
        <v>249</v>
      </c>
      <c r="AG1187" s="245">
        <v>-6.9</v>
      </c>
      <c r="AH1187" s="245">
        <v>82</v>
      </c>
      <c r="AI1187" s="245">
        <v>81</v>
      </c>
      <c r="AJ1187" s="245">
        <v>113</v>
      </c>
      <c r="AK1187" s="245" t="s">
        <v>990</v>
      </c>
      <c r="AL1187" s="245">
        <v>6.3</v>
      </c>
      <c r="AM1187" s="246">
        <v>4</v>
      </c>
      <c r="AN1187" s="235">
        <v>335</v>
      </c>
      <c r="AO1187" s="247" t="s">
        <v>2480</v>
      </c>
      <c r="AP1187" s="247">
        <v>1000</v>
      </c>
      <c r="AQ1187" s="247">
        <v>21.5</v>
      </c>
      <c r="AR1187" s="247">
        <v>25.6</v>
      </c>
      <c r="AS1187" s="247">
        <v>23.6</v>
      </c>
      <c r="AT1187" s="247">
        <v>35</v>
      </c>
      <c r="AU1187" s="247">
        <v>10.3</v>
      </c>
      <c r="AV1187" s="247">
        <v>71</v>
      </c>
      <c r="AW1187" s="247">
        <v>58</v>
      </c>
      <c r="AX1187" s="247">
        <v>349</v>
      </c>
      <c r="AY1187" s="247">
        <v>65</v>
      </c>
      <c r="AZ1187" s="247" t="s">
        <v>959</v>
      </c>
      <c r="BA1187" s="248">
        <v>4.0999999999999996</v>
      </c>
      <c r="BB1187" s="235">
        <v>303</v>
      </c>
      <c r="BC1187" s="247" t="s">
        <v>235</v>
      </c>
      <c r="BD1187" s="247">
        <v>1.4</v>
      </c>
      <c r="BE1187" s="247">
        <v>1.5</v>
      </c>
      <c r="BF1187" s="247">
        <v>2.6</v>
      </c>
      <c r="BG1187" s="247">
        <v>4.9000000000000004</v>
      </c>
      <c r="BH1187" s="247">
        <v>7.3</v>
      </c>
      <c r="BI1187" s="247">
        <v>11.7</v>
      </c>
      <c r="BJ1187" s="247">
        <v>15.1</v>
      </c>
      <c r="BK1187" s="247">
        <v>12.9</v>
      </c>
      <c r="BL1187" s="247">
        <v>9.1999999999999993</v>
      </c>
      <c r="BM1187" s="247">
        <v>5.0999999999999996</v>
      </c>
      <c r="BN1187" s="247">
        <v>3.2</v>
      </c>
      <c r="BO1187" s="247">
        <v>1.9</v>
      </c>
      <c r="BP1187" s="248">
        <v>6.4</v>
      </c>
    </row>
    <row r="1188" spans="1:68" ht="14.25" customHeight="1">
      <c r="A1188" s="233">
        <v>531</v>
      </c>
      <c r="B1188" s="234">
        <v>13</v>
      </c>
      <c r="C1188" s="244" t="s">
        <v>928</v>
      </c>
      <c r="D1188" s="244" t="s">
        <v>974</v>
      </c>
      <c r="E1188" s="244" t="s">
        <v>2481</v>
      </c>
      <c r="F1188" s="245">
        <v>-16.5</v>
      </c>
      <c r="G1188" s="245">
        <v>-15.3</v>
      </c>
      <c r="H1188" s="245">
        <v>-8.6999999999999993</v>
      </c>
      <c r="I1188" s="245">
        <v>1.7</v>
      </c>
      <c r="J1188" s="245">
        <v>10.5</v>
      </c>
      <c r="K1188" s="245">
        <v>16.7</v>
      </c>
      <c r="L1188" s="245">
        <v>18.8</v>
      </c>
      <c r="M1188" s="245">
        <v>15.8</v>
      </c>
      <c r="N1188" s="245">
        <v>10.3</v>
      </c>
      <c r="O1188" s="245">
        <v>2.4</v>
      </c>
      <c r="P1188" s="245">
        <v>-8.1</v>
      </c>
      <c r="Q1188" s="245">
        <v>-15</v>
      </c>
      <c r="R1188" s="246">
        <v>1.1000000000000001</v>
      </c>
      <c r="S1188" s="233">
        <v>13</v>
      </c>
      <c r="T1188" s="247" t="s">
        <v>2482</v>
      </c>
      <c r="U1188" s="245">
        <v>-43</v>
      </c>
      <c r="V1188" s="245">
        <v>-41</v>
      </c>
      <c r="W1188" s="245">
        <v>-40</v>
      </c>
      <c r="X1188" s="245">
        <v>-37</v>
      </c>
      <c r="Y1188" s="245">
        <v>-22</v>
      </c>
      <c r="Z1188" s="245">
        <v>-48</v>
      </c>
      <c r="AA1188" s="245">
        <v>8.6</v>
      </c>
      <c r="AB1188" s="245">
        <v>170</v>
      </c>
      <c r="AC1188" s="245">
        <v>-11</v>
      </c>
      <c r="AD1188" s="245">
        <v>225</v>
      </c>
      <c r="AE1188" s="245">
        <v>-7.3</v>
      </c>
      <c r="AF1188" s="245">
        <v>240</v>
      </c>
      <c r="AG1188" s="245">
        <v>-6.3</v>
      </c>
      <c r="AH1188" s="245">
        <v>79</v>
      </c>
      <c r="AI1188" s="245">
        <v>77</v>
      </c>
      <c r="AJ1188" s="245">
        <v>145</v>
      </c>
      <c r="AK1188" s="245" t="s">
        <v>971</v>
      </c>
      <c r="AL1188" s="245" t="s">
        <v>931</v>
      </c>
      <c r="AM1188" s="246" t="s">
        <v>931</v>
      </c>
      <c r="AN1188" s="235">
        <v>13</v>
      </c>
      <c r="AO1188" s="247" t="s">
        <v>2483</v>
      </c>
      <c r="AP1188" s="247">
        <v>980</v>
      </c>
      <c r="AQ1188" s="247">
        <v>22.7</v>
      </c>
      <c r="AR1188" s="247">
        <v>26.8</v>
      </c>
      <c r="AS1188" s="247">
        <v>25.1</v>
      </c>
      <c r="AT1188" s="247">
        <v>37</v>
      </c>
      <c r="AU1188" s="247">
        <v>12.2</v>
      </c>
      <c r="AV1188" s="247">
        <v>75</v>
      </c>
      <c r="AW1188" s="247">
        <v>60</v>
      </c>
      <c r="AX1188" s="247">
        <v>376</v>
      </c>
      <c r="AY1188" s="247">
        <v>42</v>
      </c>
      <c r="AZ1188" s="247" t="s">
        <v>940</v>
      </c>
      <c r="BA1188" s="248" t="s">
        <v>934</v>
      </c>
      <c r="BB1188" s="235">
        <v>9</v>
      </c>
      <c r="BC1188" s="247" t="s">
        <v>2481</v>
      </c>
      <c r="BD1188" s="247">
        <v>1.6</v>
      </c>
      <c r="BE1188" s="247">
        <v>1.7</v>
      </c>
      <c r="BF1188" s="247">
        <v>2.6</v>
      </c>
      <c r="BG1188" s="247">
        <v>5</v>
      </c>
      <c r="BH1188" s="247">
        <v>7.6</v>
      </c>
      <c r="BI1188" s="247">
        <v>12.7</v>
      </c>
      <c r="BJ1188" s="247">
        <v>15.6</v>
      </c>
      <c r="BK1188" s="247">
        <v>13.5</v>
      </c>
      <c r="BL1188" s="247">
        <v>9.1</v>
      </c>
      <c r="BM1188" s="247">
        <v>5.5</v>
      </c>
      <c r="BN1188" s="247">
        <v>3.2</v>
      </c>
      <c r="BO1188" s="247">
        <v>1.9</v>
      </c>
      <c r="BP1188" s="248">
        <v>6.7</v>
      </c>
    </row>
    <row r="1189" spans="1:68" ht="14.25" customHeight="1">
      <c r="A1189" s="233">
        <v>532</v>
      </c>
      <c r="B1189" s="234">
        <v>437</v>
      </c>
      <c r="C1189" s="244" t="s">
        <v>928</v>
      </c>
      <c r="D1189" s="244" t="s">
        <v>969</v>
      </c>
      <c r="E1189" s="244" t="s">
        <v>2484</v>
      </c>
      <c r="F1189" s="245">
        <v>-39.799999999999997</v>
      </c>
      <c r="G1189" s="245">
        <v>-34.5</v>
      </c>
      <c r="H1189" s="245">
        <v>-22.9</v>
      </c>
      <c r="I1189" s="245">
        <v>-8.9</v>
      </c>
      <c r="J1189" s="245">
        <v>3.1</v>
      </c>
      <c r="K1189" s="245">
        <v>10.8</v>
      </c>
      <c r="L1189" s="245">
        <v>14.4</v>
      </c>
      <c r="M1189" s="245">
        <v>11.5</v>
      </c>
      <c r="N1189" s="245">
        <v>3.6</v>
      </c>
      <c r="O1189" s="245">
        <v>-9.3000000000000007</v>
      </c>
      <c r="P1189" s="245">
        <v>-27</v>
      </c>
      <c r="Q1189" s="245">
        <v>-37.799999999999997</v>
      </c>
      <c r="R1189" s="246">
        <v>-11.4</v>
      </c>
      <c r="S1189" s="233">
        <v>437</v>
      </c>
      <c r="T1189" s="247" t="s">
        <v>2484</v>
      </c>
      <c r="U1189" s="245">
        <v>-55</v>
      </c>
      <c r="V1189" s="245">
        <v>-53</v>
      </c>
      <c r="W1189" s="245">
        <v>-53</v>
      </c>
      <c r="X1189" s="245">
        <v>-51</v>
      </c>
      <c r="Y1189" s="245">
        <v>-45</v>
      </c>
      <c r="Z1189" s="245">
        <v>-59</v>
      </c>
      <c r="AA1189" s="245">
        <v>14.7</v>
      </c>
      <c r="AB1189" s="245">
        <v>226</v>
      </c>
      <c r="AC1189" s="245">
        <v>-23.8</v>
      </c>
      <c r="AD1189" s="245">
        <v>279</v>
      </c>
      <c r="AE1189" s="245">
        <v>-18.399999999999999</v>
      </c>
      <c r="AF1189" s="245">
        <v>294</v>
      </c>
      <c r="AG1189" s="245">
        <v>-17</v>
      </c>
      <c r="AH1189" s="245">
        <v>75</v>
      </c>
      <c r="AI1189" s="245">
        <v>74</v>
      </c>
      <c r="AJ1189" s="245">
        <v>66</v>
      </c>
      <c r="AK1189" s="245" t="s">
        <v>944</v>
      </c>
      <c r="AL1189" s="245" t="s">
        <v>931</v>
      </c>
      <c r="AM1189" s="246">
        <v>0.8</v>
      </c>
      <c r="AN1189" s="235">
        <v>437</v>
      </c>
      <c r="AO1189" s="247" t="s">
        <v>2485</v>
      </c>
      <c r="AP1189" s="247">
        <v>910</v>
      </c>
      <c r="AQ1189" s="247">
        <v>20</v>
      </c>
      <c r="AR1189" s="247">
        <v>24.3</v>
      </c>
      <c r="AS1189" s="247">
        <v>22.4</v>
      </c>
      <c r="AT1189" s="247">
        <v>33</v>
      </c>
      <c r="AU1189" s="247">
        <v>17</v>
      </c>
      <c r="AV1189" s="247">
        <v>75</v>
      </c>
      <c r="AW1189" s="247">
        <v>54</v>
      </c>
      <c r="AX1189" s="247">
        <v>420</v>
      </c>
      <c r="AY1189" s="247">
        <v>55</v>
      </c>
      <c r="AZ1189" s="247" t="s">
        <v>1038</v>
      </c>
      <c r="BA1189" s="248" t="s">
        <v>934</v>
      </c>
      <c r="BB1189" s="235">
        <v>400</v>
      </c>
      <c r="BC1189" s="247" t="s">
        <v>2484</v>
      </c>
      <c r="BD1189" s="247">
        <v>0.2</v>
      </c>
      <c r="BE1189" s="247">
        <v>0.3</v>
      </c>
      <c r="BF1189" s="247">
        <v>0.9</v>
      </c>
      <c r="BG1189" s="247">
        <v>2.2999999999999998</v>
      </c>
      <c r="BH1189" s="247">
        <v>4.8</v>
      </c>
      <c r="BI1189" s="247">
        <v>8.4</v>
      </c>
      <c r="BJ1189" s="247">
        <v>12</v>
      </c>
      <c r="BK1189" s="247">
        <v>10.6</v>
      </c>
      <c r="BL1189" s="247">
        <v>6.3</v>
      </c>
      <c r="BM1189" s="247">
        <v>2.7</v>
      </c>
      <c r="BN1189" s="247">
        <v>0.7</v>
      </c>
      <c r="BO1189" s="247">
        <v>0.3</v>
      </c>
      <c r="BP1189" s="248">
        <v>4.0999999999999996</v>
      </c>
    </row>
    <row r="1190" spans="1:68" ht="14.25" customHeight="1">
      <c r="A1190" s="233">
        <v>533</v>
      </c>
      <c r="B1190" s="234">
        <v>438</v>
      </c>
      <c r="C1190" s="244" t="s">
        <v>928</v>
      </c>
      <c r="D1190" s="244" t="s">
        <v>969</v>
      </c>
      <c r="E1190" s="244" t="s">
        <v>2486</v>
      </c>
      <c r="F1190" s="245">
        <v>-35.5</v>
      </c>
      <c r="G1190" s="245">
        <v>-31.6</v>
      </c>
      <c r="H1190" s="245">
        <v>-20</v>
      </c>
      <c r="I1190" s="245">
        <v>-5.8</v>
      </c>
      <c r="J1190" s="245">
        <v>5.4</v>
      </c>
      <c r="K1190" s="245">
        <v>13.7</v>
      </c>
      <c r="L1190" s="245">
        <v>17.2</v>
      </c>
      <c r="M1190" s="245">
        <v>13.5</v>
      </c>
      <c r="N1190" s="245">
        <v>5.5</v>
      </c>
      <c r="O1190" s="245">
        <v>-6.7</v>
      </c>
      <c r="P1190" s="245">
        <v>-24.4</v>
      </c>
      <c r="Q1190" s="245">
        <v>-33.9</v>
      </c>
      <c r="R1190" s="246">
        <v>-8.6</v>
      </c>
      <c r="S1190" s="233">
        <v>438</v>
      </c>
      <c r="T1190" s="247" t="s">
        <v>2486</v>
      </c>
      <c r="U1190" s="245">
        <v>-56</v>
      </c>
      <c r="V1190" s="245">
        <v>-54</v>
      </c>
      <c r="W1190" s="245">
        <v>-54</v>
      </c>
      <c r="X1190" s="245">
        <v>-51</v>
      </c>
      <c r="Y1190" s="245">
        <v>-41</v>
      </c>
      <c r="Z1190" s="245">
        <v>-60</v>
      </c>
      <c r="AA1190" s="245">
        <v>12.1</v>
      </c>
      <c r="AB1190" s="245">
        <v>214</v>
      </c>
      <c r="AC1190" s="245">
        <v>-21.9</v>
      </c>
      <c r="AD1190" s="245">
        <v>262</v>
      </c>
      <c r="AE1190" s="245">
        <v>-17.100000000000001</v>
      </c>
      <c r="AF1190" s="245">
        <v>277</v>
      </c>
      <c r="AG1190" s="245">
        <v>-15.7</v>
      </c>
      <c r="AH1190" s="245">
        <v>77</v>
      </c>
      <c r="AI1190" s="245">
        <v>77</v>
      </c>
      <c r="AJ1190" s="245">
        <v>92</v>
      </c>
      <c r="AK1190" s="245" t="s">
        <v>944</v>
      </c>
      <c r="AL1190" s="245" t="s">
        <v>931</v>
      </c>
      <c r="AM1190" s="246">
        <v>1</v>
      </c>
      <c r="AN1190" s="235">
        <v>438</v>
      </c>
      <c r="AO1190" s="247" t="s">
        <v>2487</v>
      </c>
      <c r="AP1190" s="247">
        <v>975</v>
      </c>
      <c r="AQ1190" s="247">
        <v>23.1</v>
      </c>
      <c r="AR1190" s="247">
        <v>27.2</v>
      </c>
      <c r="AS1190" s="247">
        <v>25.5</v>
      </c>
      <c r="AT1190" s="247">
        <v>38</v>
      </c>
      <c r="AU1190" s="247">
        <v>16.3</v>
      </c>
      <c r="AV1190" s="247">
        <v>73</v>
      </c>
      <c r="AW1190" s="247">
        <v>52</v>
      </c>
      <c r="AX1190" s="247">
        <v>343</v>
      </c>
      <c r="AY1190" s="247">
        <v>64</v>
      </c>
      <c r="AZ1190" s="247" t="s">
        <v>1005</v>
      </c>
      <c r="BA1190" s="248" t="s">
        <v>934</v>
      </c>
      <c r="BB1190" s="235">
        <v>401</v>
      </c>
      <c r="BC1190" s="247" t="s">
        <v>2486</v>
      </c>
      <c r="BD1190" s="247">
        <v>0.3</v>
      </c>
      <c r="BE1190" s="247">
        <v>0.5</v>
      </c>
      <c r="BF1190" s="247">
        <v>1.1000000000000001</v>
      </c>
      <c r="BG1190" s="247">
        <v>2.8</v>
      </c>
      <c r="BH1190" s="247">
        <v>5.5</v>
      </c>
      <c r="BI1190" s="247">
        <v>10.1</v>
      </c>
      <c r="BJ1190" s="247">
        <v>13.9</v>
      </c>
      <c r="BK1190" s="247">
        <v>12.3</v>
      </c>
      <c r="BL1190" s="247">
        <v>7.2</v>
      </c>
      <c r="BM1190" s="247">
        <v>3.2</v>
      </c>
      <c r="BN1190" s="247">
        <v>1</v>
      </c>
      <c r="BO1190" s="247">
        <v>0.4</v>
      </c>
      <c r="BP1190" s="248">
        <v>4.9000000000000004</v>
      </c>
    </row>
    <row r="1191" spans="1:68" ht="14.25" customHeight="1">
      <c r="A1191" s="233">
        <v>534</v>
      </c>
      <c r="B1191" s="234">
        <v>439</v>
      </c>
      <c r="C1191" s="244" t="s">
        <v>928</v>
      </c>
      <c r="D1191" s="244" t="s">
        <v>969</v>
      </c>
      <c r="E1191" s="244" t="s">
        <v>2488</v>
      </c>
      <c r="F1191" s="245">
        <v>-44.3</v>
      </c>
      <c r="G1191" s="245">
        <v>-39.200000000000003</v>
      </c>
      <c r="H1191" s="245">
        <v>-27.3</v>
      </c>
      <c r="I1191" s="245">
        <v>-11.8</v>
      </c>
      <c r="J1191" s="245">
        <v>3.2</v>
      </c>
      <c r="K1191" s="245">
        <v>12.3</v>
      </c>
      <c r="L1191" s="245">
        <v>15.3</v>
      </c>
      <c r="M1191" s="245">
        <v>11.7</v>
      </c>
      <c r="N1191" s="245">
        <v>3.1</v>
      </c>
      <c r="O1191" s="245">
        <v>-13.3</v>
      </c>
      <c r="P1191" s="245">
        <v>-34.299999999999997</v>
      </c>
      <c r="Q1191" s="245">
        <v>-42.2</v>
      </c>
      <c r="R1191" s="246">
        <v>-13.9</v>
      </c>
      <c r="S1191" s="233">
        <v>439</v>
      </c>
      <c r="T1191" s="247" t="s">
        <v>2488</v>
      </c>
      <c r="U1191" s="245">
        <v>-59</v>
      </c>
      <c r="V1191" s="245">
        <v>-58</v>
      </c>
      <c r="W1191" s="245">
        <v>-57</v>
      </c>
      <c r="X1191" s="245">
        <v>-55</v>
      </c>
      <c r="Y1191" s="245">
        <v>-49</v>
      </c>
      <c r="Z1191" s="245">
        <v>-60</v>
      </c>
      <c r="AA1191" s="245">
        <v>7.7</v>
      </c>
      <c r="AB1191" s="245">
        <v>230</v>
      </c>
      <c r="AC1191" s="245">
        <v>-27.6</v>
      </c>
      <c r="AD1191" s="245">
        <v>276</v>
      </c>
      <c r="AE1191" s="245">
        <v>-22.2</v>
      </c>
      <c r="AF1191" s="245">
        <v>290</v>
      </c>
      <c r="AG1191" s="245">
        <v>-20.8</v>
      </c>
      <c r="AH1191" s="245">
        <v>74</v>
      </c>
      <c r="AI1191" s="245">
        <v>74</v>
      </c>
      <c r="AJ1191" s="245">
        <v>33</v>
      </c>
      <c r="AK1191" s="245" t="s">
        <v>944</v>
      </c>
      <c r="AL1191" s="245">
        <v>3.1</v>
      </c>
      <c r="AM1191" s="246">
        <v>2.4</v>
      </c>
      <c r="AN1191" s="235">
        <v>439</v>
      </c>
      <c r="AO1191" s="247" t="s">
        <v>2489</v>
      </c>
      <c r="AP1191" s="247">
        <v>965</v>
      </c>
      <c r="AQ1191" s="247">
        <v>19.8</v>
      </c>
      <c r="AR1191" s="247">
        <v>25</v>
      </c>
      <c r="AS1191" s="247">
        <v>23.2</v>
      </c>
      <c r="AT1191" s="247">
        <v>36</v>
      </c>
      <c r="AU1191" s="247">
        <v>15.5</v>
      </c>
      <c r="AV1191" s="247">
        <v>67</v>
      </c>
      <c r="AW1191" s="247">
        <v>49</v>
      </c>
      <c r="AX1191" s="247">
        <v>252</v>
      </c>
      <c r="AY1191" s="247">
        <v>55</v>
      </c>
      <c r="AZ1191" s="247" t="s">
        <v>973</v>
      </c>
      <c r="BA1191" s="248">
        <v>0</v>
      </c>
      <c r="BB1191" s="235">
        <v>402</v>
      </c>
      <c r="BC1191" s="247" t="s">
        <v>2488</v>
      </c>
      <c r="BD1191" s="247">
        <v>0.1</v>
      </c>
      <c r="BE1191" s="247">
        <v>0.2</v>
      </c>
      <c r="BF1191" s="247">
        <v>0.6</v>
      </c>
      <c r="BG1191" s="247">
        <v>2</v>
      </c>
      <c r="BH1191" s="247">
        <v>4.5999999999999996</v>
      </c>
      <c r="BI1191" s="247">
        <v>8.6999999999999993</v>
      </c>
      <c r="BJ1191" s="247">
        <v>11.3</v>
      </c>
      <c r="BK1191" s="247">
        <v>9.8000000000000007</v>
      </c>
      <c r="BL1191" s="247">
        <v>5.7</v>
      </c>
      <c r="BM1191" s="247">
        <v>2.1</v>
      </c>
      <c r="BN1191" s="247">
        <v>0.4</v>
      </c>
      <c r="BO1191" s="247">
        <v>0.2</v>
      </c>
      <c r="BP1191" s="248">
        <v>3.8</v>
      </c>
    </row>
    <row r="1192" spans="1:68" ht="14.25" customHeight="1">
      <c r="A1192" s="233">
        <v>535</v>
      </c>
      <c r="B1192" s="234">
        <v>320</v>
      </c>
      <c r="C1192" s="244" t="s">
        <v>928</v>
      </c>
      <c r="D1192" s="244" t="s">
        <v>987</v>
      </c>
      <c r="E1192" s="244" t="s">
        <v>237</v>
      </c>
      <c r="F1192" s="245">
        <v>-19.100000000000001</v>
      </c>
      <c r="G1192" s="245">
        <v>-16.899999999999999</v>
      </c>
      <c r="H1192" s="245">
        <v>-9.9</v>
      </c>
      <c r="I1192" s="245">
        <v>0</v>
      </c>
      <c r="J1192" s="245">
        <v>8.6999999999999993</v>
      </c>
      <c r="K1192" s="245">
        <v>15.4</v>
      </c>
      <c r="L1192" s="245">
        <v>18.3</v>
      </c>
      <c r="M1192" s="245">
        <v>15.1</v>
      </c>
      <c r="N1192" s="245">
        <v>9.3000000000000007</v>
      </c>
      <c r="O1192" s="245">
        <v>0.8</v>
      </c>
      <c r="P1192" s="245">
        <v>-10.1</v>
      </c>
      <c r="Q1192" s="245">
        <v>-17.3</v>
      </c>
      <c r="R1192" s="246">
        <v>-0.5</v>
      </c>
      <c r="S1192" s="233">
        <v>320</v>
      </c>
      <c r="T1192" s="247" t="s">
        <v>2490</v>
      </c>
      <c r="U1192" s="245">
        <v>-47</v>
      </c>
      <c r="V1192" s="245">
        <v>-44</v>
      </c>
      <c r="W1192" s="245">
        <v>-44</v>
      </c>
      <c r="X1192" s="245">
        <v>-40</v>
      </c>
      <c r="Y1192" s="245">
        <v>-24</v>
      </c>
      <c r="Z1192" s="245">
        <v>-55</v>
      </c>
      <c r="AA1192" s="245">
        <v>8.6999999999999993</v>
      </c>
      <c r="AB1192" s="245">
        <v>179</v>
      </c>
      <c r="AC1192" s="245">
        <v>-12.4</v>
      </c>
      <c r="AD1192" s="245">
        <v>236</v>
      </c>
      <c r="AE1192" s="245">
        <v>-8.4</v>
      </c>
      <c r="AF1192" s="245">
        <v>253</v>
      </c>
      <c r="AG1192" s="245">
        <v>-7.3</v>
      </c>
      <c r="AH1192" s="245">
        <v>80</v>
      </c>
      <c r="AI1192" s="245">
        <v>78</v>
      </c>
      <c r="AJ1192" s="245">
        <v>185</v>
      </c>
      <c r="AK1192" s="245" t="s">
        <v>963</v>
      </c>
      <c r="AL1192" s="245">
        <v>5.6</v>
      </c>
      <c r="AM1192" s="246">
        <v>4.7</v>
      </c>
      <c r="AN1192" s="235">
        <v>320</v>
      </c>
      <c r="AO1192" s="247" t="s">
        <v>2491</v>
      </c>
      <c r="AP1192" s="247">
        <v>990</v>
      </c>
      <c r="AQ1192" s="247">
        <v>21.7</v>
      </c>
      <c r="AR1192" s="247">
        <v>26</v>
      </c>
      <c r="AS1192" s="247">
        <v>23.7</v>
      </c>
      <c r="AT1192" s="247">
        <v>36</v>
      </c>
      <c r="AU1192" s="247">
        <v>11</v>
      </c>
      <c r="AV1192" s="247">
        <v>74</v>
      </c>
      <c r="AW1192" s="247">
        <v>59</v>
      </c>
      <c r="AX1192" s="247">
        <v>406</v>
      </c>
      <c r="AY1192" s="247">
        <v>76</v>
      </c>
      <c r="AZ1192" s="247" t="s">
        <v>973</v>
      </c>
      <c r="BA1192" s="248">
        <v>0</v>
      </c>
      <c r="BB1192" s="235">
        <v>288</v>
      </c>
      <c r="BC1192" s="247" t="s">
        <v>237</v>
      </c>
      <c r="BD1192" s="247">
        <v>1.4</v>
      </c>
      <c r="BE1192" s="247">
        <v>1.5</v>
      </c>
      <c r="BF1192" s="247">
        <v>2.4</v>
      </c>
      <c r="BG1192" s="247">
        <v>4.4000000000000004</v>
      </c>
      <c r="BH1192" s="247">
        <v>6.9</v>
      </c>
      <c r="BI1192" s="247">
        <v>11.8</v>
      </c>
      <c r="BJ1192" s="247">
        <v>15.4</v>
      </c>
      <c r="BK1192" s="247">
        <v>13.3</v>
      </c>
      <c r="BL1192" s="247">
        <v>9</v>
      </c>
      <c r="BM1192" s="247">
        <v>5.2</v>
      </c>
      <c r="BN1192" s="247">
        <v>2.8</v>
      </c>
      <c r="BO1192" s="247">
        <v>1.7</v>
      </c>
      <c r="BP1192" s="248">
        <v>6.3</v>
      </c>
    </row>
    <row r="1193" spans="1:68" ht="14.25" customHeight="1">
      <c r="A1193" s="233">
        <v>536</v>
      </c>
      <c r="B1193" s="234">
        <v>145</v>
      </c>
      <c r="C1193" s="244" t="s">
        <v>928</v>
      </c>
      <c r="D1193" s="244" t="s">
        <v>1677</v>
      </c>
      <c r="E1193" s="244" t="s">
        <v>2492</v>
      </c>
      <c r="F1193" s="245">
        <v>-18.2</v>
      </c>
      <c r="G1193" s="245">
        <v>-16.100000000000001</v>
      </c>
      <c r="H1193" s="245">
        <v>-10.199999999999999</v>
      </c>
      <c r="I1193" s="245">
        <v>-0.2</v>
      </c>
      <c r="J1193" s="245">
        <v>8.9</v>
      </c>
      <c r="K1193" s="245">
        <v>15.8</v>
      </c>
      <c r="L1193" s="245">
        <v>18.2</v>
      </c>
      <c r="M1193" s="245">
        <v>15.4</v>
      </c>
      <c r="N1193" s="245">
        <v>9.1999999999999993</v>
      </c>
      <c r="O1193" s="245">
        <v>0.7</v>
      </c>
      <c r="P1193" s="245">
        <v>-10.199999999999999</v>
      </c>
      <c r="Q1193" s="245">
        <v>-16.5</v>
      </c>
      <c r="R1193" s="246">
        <v>-0.3</v>
      </c>
      <c r="S1193" s="233">
        <v>145</v>
      </c>
      <c r="T1193" s="247" t="s">
        <v>2493</v>
      </c>
      <c r="U1193" s="245">
        <v>-46</v>
      </c>
      <c r="V1193" s="245">
        <v>-42</v>
      </c>
      <c r="W1193" s="245">
        <v>-42</v>
      </c>
      <c r="X1193" s="245">
        <v>-39</v>
      </c>
      <c r="Y1193" s="245">
        <v>-23</v>
      </c>
      <c r="Z1193" s="245">
        <v>-51</v>
      </c>
      <c r="AA1193" s="245">
        <v>7.7</v>
      </c>
      <c r="AB1193" s="245">
        <v>180</v>
      </c>
      <c r="AC1193" s="245">
        <v>-11.9</v>
      </c>
      <c r="AD1193" s="245">
        <v>235</v>
      </c>
      <c r="AE1193" s="245">
        <v>-8.1999999999999993</v>
      </c>
      <c r="AF1193" s="245">
        <v>251</v>
      </c>
      <c r="AG1193" s="245">
        <v>-7.1</v>
      </c>
      <c r="AH1193" s="245">
        <v>84</v>
      </c>
      <c r="AI1193" s="245">
        <v>82</v>
      </c>
      <c r="AJ1193" s="245">
        <v>256</v>
      </c>
      <c r="AK1193" s="245" t="s">
        <v>963</v>
      </c>
      <c r="AL1193" s="245" t="s">
        <v>931</v>
      </c>
      <c r="AM1193" s="246" t="s">
        <v>931</v>
      </c>
      <c r="AN1193" s="235">
        <v>145</v>
      </c>
      <c r="AO1193" s="247" t="s">
        <v>2494</v>
      </c>
      <c r="AP1193" s="247">
        <v>975</v>
      </c>
      <c r="AQ1193" s="247">
        <v>21.4</v>
      </c>
      <c r="AR1193" s="247">
        <v>25.6</v>
      </c>
      <c r="AS1193" s="247">
        <v>23.8</v>
      </c>
      <c r="AT1193" s="247">
        <v>37</v>
      </c>
      <c r="AU1193" s="247">
        <v>10.9</v>
      </c>
      <c r="AV1193" s="247">
        <v>73</v>
      </c>
      <c r="AW1193" s="247">
        <v>58</v>
      </c>
      <c r="AX1193" s="247">
        <v>423</v>
      </c>
      <c r="AY1193" s="247">
        <v>55</v>
      </c>
      <c r="AZ1193" s="247" t="s">
        <v>973</v>
      </c>
      <c r="BA1193" s="248" t="s">
        <v>934</v>
      </c>
      <c r="BB1193" s="235"/>
      <c r="BC1193" s="247" t="s">
        <v>2492</v>
      </c>
      <c r="BD1193" s="247"/>
      <c r="BE1193" s="247"/>
      <c r="BF1193" s="247"/>
      <c r="BG1193" s="247"/>
      <c r="BH1193" s="247"/>
      <c r="BI1193" s="247"/>
      <c r="BJ1193" s="247"/>
      <c r="BK1193" s="247"/>
      <c r="BL1193" s="247"/>
      <c r="BM1193" s="247"/>
      <c r="BN1193" s="247"/>
      <c r="BO1193" s="247"/>
      <c r="BP1193" s="248"/>
    </row>
    <row r="1194" spans="1:68" ht="14.25" customHeight="1">
      <c r="A1194" s="233">
        <v>537</v>
      </c>
      <c r="B1194" s="234">
        <v>76</v>
      </c>
      <c r="C1194" s="244" t="s">
        <v>928</v>
      </c>
      <c r="D1194" s="244" t="s">
        <v>1085</v>
      </c>
      <c r="E1194" s="244" t="s">
        <v>2495</v>
      </c>
      <c r="F1194" s="245">
        <v>-13.1</v>
      </c>
      <c r="G1194" s="245">
        <v>-11.9</v>
      </c>
      <c r="H1194" s="245">
        <v>-6.2</v>
      </c>
      <c r="I1194" s="245">
        <v>2.1</v>
      </c>
      <c r="J1194" s="245">
        <v>9.1</v>
      </c>
      <c r="K1194" s="245">
        <v>14.3</v>
      </c>
      <c r="L1194" s="245">
        <v>17</v>
      </c>
      <c r="M1194" s="245">
        <v>14.5</v>
      </c>
      <c r="N1194" s="245">
        <v>8.5</v>
      </c>
      <c r="O1194" s="245">
        <v>1.9</v>
      </c>
      <c r="P1194" s="245">
        <v>-4.5</v>
      </c>
      <c r="Q1194" s="245">
        <v>-10.4</v>
      </c>
      <c r="R1194" s="246">
        <v>1.8</v>
      </c>
      <c r="S1194" s="233">
        <v>76</v>
      </c>
      <c r="T1194" s="247" t="s">
        <v>2496</v>
      </c>
      <c r="U1194" s="245">
        <v>-39</v>
      </c>
      <c r="V1194" s="245">
        <v>-37</v>
      </c>
      <c r="W1194" s="245">
        <v>-36</v>
      </c>
      <c r="X1194" s="245">
        <v>-32</v>
      </c>
      <c r="Y1194" s="245">
        <v>-18</v>
      </c>
      <c r="Z1194" s="245">
        <v>-46</v>
      </c>
      <c r="AA1194" s="245">
        <v>7.3</v>
      </c>
      <c r="AB1194" s="245">
        <v>165</v>
      </c>
      <c r="AC1194" s="245">
        <v>-8.1999999999999993</v>
      </c>
      <c r="AD1194" s="245">
        <v>235</v>
      </c>
      <c r="AE1194" s="245">
        <v>-4.5</v>
      </c>
      <c r="AF1194" s="245">
        <v>255</v>
      </c>
      <c r="AG1194" s="245">
        <v>-3.4</v>
      </c>
      <c r="AH1194" s="245">
        <v>86</v>
      </c>
      <c r="AI1194" s="245">
        <v>86</v>
      </c>
      <c r="AJ1194" s="245">
        <v>199</v>
      </c>
      <c r="AK1194" s="245" t="s">
        <v>971</v>
      </c>
      <c r="AL1194" s="245">
        <v>4.5</v>
      </c>
      <c r="AM1194" s="246">
        <v>3.6</v>
      </c>
      <c r="AN1194" s="235">
        <v>76</v>
      </c>
      <c r="AO1194" s="247" t="s">
        <v>2497</v>
      </c>
      <c r="AP1194" s="247">
        <v>995</v>
      </c>
      <c r="AQ1194" s="247">
        <v>20</v>
      </c>
      <c r="AR1194" s="247">
        <v>24.3</v>
      </c>
      <c r="AS1194" s="247">
        <v>22.4</v>
      </c>
      <c r="AT1194" s="247">
        <v>37</v>
      </c>
      <c r="AU1194" s="247">
        <v>11.5</v>
      </c>
      <c r="AV1194" s="247">
        <v>75</v>
      </c>
      <c r="AW1194" s="247">
        <v>60</v>
      </c>
      <c r="AX1194" s="247">
        <v>460</v>
      </c>
      <c r="AY1194" s="247">
        <v>69</v>
      </c>
      <c r="AZ1194" s="247" t="s">
        <v>978</v>
      </c>
      <c r="BA1194" s="248">
        <v>3</v>
      </c>
      <c r="BB1194" s="235">
        <v>61</v>
      </c>
      <c r="BC1194" s="247" t="s">
        <v>2495</v>
      </c>
      <c r="BD1194" s="247">
        <v>2.4</v>
      </c>
      <c r="BE1194" s="247">
        <v>2.4</v>
      </c>
      <c r="BF1194" s="247">
        <v>3.3</v>
      </c>
      <c r="BG1194" s="247">
        <v>5.0999999999999996</v>
      </c>
      <c r="BH1194" s="247">
        <v>7.6</v>
      </c>
      <c r="BI1194" s="247">
        <v>11.5</v>
      </c>
      <c r="BJ1194" s="247">
        <v>14.2</v>
      </c>
      <c r="BK1194" s="247">
        <v>13.3</v>
      </c>
      <c r="BL1194" s="247">
        <v>9.6</v>
      </c>
      <c r="BM1194" s="247">
        <v>6.3</v>
      </c>
      <c r="BN1194" s="247">
        <v>4.3</v>
      </c>
      <c r="BO1194" s="247">
        <v>3.1</v>
      </c>
      <c r="BP1194" s="248">
        <v>6.9</v>
      </c>
    </row>
    <row r="1195" spans="1:68" ht="14.25" customHeight="1">
      <c r="A1195" s="233">
        <v>538</v>
      </c>
      <c r="B1195" s="234">
        <v>189</v>
      </c>
      <c r="C1195" s="244" t="s">
        <v>928</v>
      </c>
      <c r="D1195" s="244" t="s">
        <v>935</v>
      </c>
      <c r="E1195" s="244" t="s">
        <v>2498</v>
      </c>
      <c r="F1195" s="245">
        <v>-22.8</v>
      </c>
      <c r="G1195" s="245">
        <v>-20.3</v>
      </c>
      <c r="H1195" s="245">
        <v>-11.5</v>
      </c>
      <c r="I1195" s="245">
        <v>-0.8</v>
      </c>
      <c r="J1195" s="245">
        <v>6.9</v>
      </c>
      <c r="K1195" s="245">
        <v>14.5</v>
      </c>
      <c r="L1195" s="245">
        <v>17.5</v>
      </c>
      <c r="M1195" s="245">
        <v>14</v>
      </c>
      <c r="N1195" s="245">
        <v>7</v>
      </c>
      <c r="O1195" s="245">
        <v>-1</v>
      </c>
      <c r="P1195" s="245">
        <v>-12.5</v>
      </c>
      <c r="Q1195" s="245">
        <v>-21.9</v>
      </c>
      <c r="R1195" s="246">
        <v>-2.6</v>
      </c>
      <c r="S1195" s="233">
        <v>189</v>
      </c>
      <c r="T1195" s="247" t="s">
        <v>2499</v>
      </c>
      <c r="U1195" s="245">
        <v>-51</v>
      </c>
      <c r="V1195" s="245">
        <v>-50</v>
      </c>
      <c r="W1195" s="245">
        <v>-49</v>
      </c>
      <c r="X1195" s="245">
        <v>-47</v>
      </c>
      <c r="Y1195" s="245">
        <v>-28</v>
      </c>
      <c r="Z1195" s="245">
        <v>-57</v>
      </c>
      <c r="AA1195" s="245">
        <v>13.1</v>
      </c>
      <c r="AB1195" s="245">
        <v>188</v>
      </c>
      <c r="AC1195" s="245">
        <v>-14.4</v>
      </c>
      <c r="AD1195" s="245">
        <v>251</v>
      </c>
      <c r="AE1195" s="245">
        <v>-9.8000000000000007</v>
      </c>
      <c r="AF1195" s="245">
        <v>268</v>
      </c>
      <c r="AG1195" s="245">
        <v>-8.6</v>
      </c>
      <c r="AH1195" s="245">
        <v>76</v>
      </c>
      <c r="AI1195" s="245">
        <v>73</v>
      </c>
      <c r="AJ1195" s="245">
        <v>121</v>
      </c>
      <c r="AK1195" s="245" t="s">
        <v>971</v>
      </c>
      <c r="AL1195" s="245" t="s">
        <v>931</v>
      </c>
      <c r="AM1195" s="246">
        <v>1.9</v>
      </c>
      <c r="AN1195" s="235">
        <v>189</v>
      </c>
      <c r="AO1195" s="247" t="s">
        <v>2500</v>
      </c>
      <c r="AP1195" s="247">
        <v>995</v>
      </c>
      <c r="AQ1195" s="247">
        <v>23</v>
      </c>
      <c r="AR1195" s="247">
        <v>27.1</v>
      </c>
      <c r="AS1195" s="247">
        <v>25.4</v>
      </c>
      <c r="AT1195" s="247">
        <v>36</v>
      </c>
      <c r="AU1195" s="247">
        <v>16.7</v>
      </c>
      <c r="AV1195" s="247">
        <v>73</v>
      </c>
      <c r="AW1195" s="247">
        <v>54</v>
      </c>
      <c r="AX1195" s="247">
        <v>326</v>
      </c>
      <c r="AY1195" s="247">
        <v>93</v>
      </c>
      <c r="AZ1195" s="247" t="s">
        <v>978</v>
      </c>
      <c r="BA1195" s="248" t="s">
        <v>934</v>
      </c>
      <c r="BB1195" s="235">
        <v>167</v>
      </c>
      <c r="BC1195" s="247" t="s">
        <v>2498</v>
      </c>
      <c r="BD1195" s="247">
        <v>1.1000000000000001</v>
      </c>
      <c r="BE1195" s="247">
        <v>1.2</v>
      </c>
      <c r="BF1195" s="247">
        <v>2.1</v>
      </c>
      <c r="BG1195" s="247">
        <v>3.8</v>
      </c>
      <c r="BH1195" s="247">
        <v>6.1</v>
      </c>
      <c r="BI1195" s="247">
        <v>10.9</v>
      </c>
      <c r="BJ1195" s="247">
        <v>14.4</v>
      </c>
      <c r="BK1195" s="247">
        <v>12.5</v>
      </c>
      <c r="BL1195" s="247">
        <v>8.1</v>
      </c>
      <c r="BM1195" s="247">
        <v>4.5999999999999996</v>
      </c>
      <c r="BN1195" s="247">
        <v>2.2999999999999998</v>
      </c>
      <c r="BO1195" s="247">
        <v>1.3</v>
      </c>
      <c r="BP1195" s="248">
        <v>5.7</v>
      </c>
    </row>
    <row r="1196" spans="1:68" ht="14.25" customHeight="1">
      <c r="A1196" s="233">
        <v>539</v>
      </c>
      <c r="B1196" s="234">
        <v>366</v>
      </c>
      <c r="C1196" s="244" t="s">
        <v>928</v>
      </c>
      <c r="D1196" s="244" t="s">
        <v>1081</v>
      </c>
      <c r="E1196" s="244" t="s">
        <v>2498</v>
      </c>
      <c r="F1196" s="245">
        <v>-23.3</v>
      </c>
      <c r="G1196" s="245">
        <v>-18.2</v>
      </c>
      <c r="H1196" s="245">
        <v>-9.4</v>
      </c>
      <c r="I1196" s="245">
        <v>2.1</v>
      </c>
      <c r="J1196" s="245">
        <v>10.3</v>
      </c>
      <c r="K1196" s="245">
        <v>16.7</v>
      </c>
      <c r="L1196" s="245">
        <v>20.5</v>
      </c>
      <c r="M1196" s="245">
        <v>19.2</v>
      </c>
      <c r="N1196" s="245">
        <v>13.1</v>
      </c>
      <c r="O1196" s="245">
        <v>3.9</v>
      </c>
      <c r="P1196" s="245">
        <v>-8.6999999999999993</v>
      </c>
      <c r="Q1196" s="245">
        <v>-19.2</v>
      </c>
      <c r="R1196" s="246">
        <v>0.6</v>
      </c>
      <c r="S1196" s="233">
        <v>366</v>
      </c>
      <c r="T1196" s="247" t="s">
        <v>2499</v>
      </c>
      <c r="U1196" s="245">
        <v>-36</v>
      </c>
      <c r="V1196" s="245">
        <v>-34</v>
      </c>
      <c r="W1196" s="245">
        <v>-32</v>
      </c>
      <c r="X1196" s="245">
        <v>-31</v>
      </c>
      <c r="Y1196" s="245">
        <v>-28</v>
      </c>
      <c r="Z1196" s="245">
        <v>-47</v>
      </c>
      <c r="AA1196" s="245">
        <v>8.6999999999999993</v>
      </c>
      <c r="AB1196" s="245">
        <v>166</v>
      </c>
      <c r="AC1196" s="245">
        <v>-13.9</v>
      </c>
      <c r="AD1196" s="245">
        <v>217</v>
      </c>
      <c r="AE1196" s="245">
        <v>-9.6999999999999993</v>
      </c>
      <c r="AF1196" s="245">
        <v>231</v>
      </c>
      <c r="AG1196" s="245">
        <v>-8.5</v>
      </c>
      <c r="AH1196" s="245">
        <v>74</v>
      </c>
      <c r="AI1196" s="245">
        <v>70</v>
      </c>
      <c r="AJ1196" s="245">
        <v>137</v>
      </c>
      <c r="AK1196" s="245" t="s">
        <v>963</v>
      </c>
      <c r="AL1196" s="245" t="s">
        <v>931</v>
      </c>
      <c r="AM1196" s="246">
        <v>4.2</v>
      </c>
      <c r="AN1196" s="235">
        <v>366</v>
      </c>
      <c r="AO1196" s="247" t="s">
        <v>2500</v>
      </c>
      <c r="AP1196" s="247">
        <v>1005</v>
      </c>
      <c r="AQ1196" s="247">
        <v>22.9</v>
      </c>
      <c r="AR1196" s="247">
        <v>27</v>
      </c>
      <c r="AS1196" s="247">
        <v>25.3</v>
      </c>
      <c r="AT1196" s="247">
        <v>39</v>
      </c>
      <c r="AU1196" s="247">
        <v>9.5</v>
      </c>
      <c r="AV1196" s="247">
        <v>80</v>
      </c>
      <c r="AW1196" s="247">
        <v>70</v>
      </c>
      <c r="AX1196" s="247">
        <v>549</v>
      </c>
      <c r="AY1196" s="247">
        <v>78</v>
      </c>
      <c r="AZ1196" s="247" t="s">
        <v>940</v>
      </c>
      <c r="BA1196" s="248" t="s">
        <v>934</v>
      </c>
      <c r="BB1196" s="235">
        <v>331</v>
      </c>
      <c r="BC1196" s="247" t="s">
        <v>2498</v>
      </c>
      <c r="BD1196" s="247">
        <v>0.8</v>
      </c>
      <c r="BE1196" s="247">
        <v>1.2</v>
      </c>
      <c r="BF1196" s="247">
        <v>2.2000000000000002</v>
      </c>
      <c r="BG1196" s="247">
        <v>4.5999999999999996</v>
      </c>
      <c r="BH1196" s="247">
        <v>8</v>
      </c>
      <c r="BI1196" s="247">
        <v>14.2</v>
      </c>
      <c r="BJ1196" s="247">
        <v>19.3</v>
      </c>
      <c r="BK1196" s="247">
        <v>18.7</v>
      </c>
      <c r="BL1196" s="247">
        <v>12.3</v>
      </c>
      <c r="BM1196" s="247">
        <v>5.9</v>
      </c>
      <c r="BN1196" s="247">
        <v>2.5</v>
      </c>
      <c r="BO1196" s="247">
        <v>1.1000000000000001</v>
      </c>
      <c r="BP1196" s="248">
        <v>7.6</v>
      </c>
    </row>
    <row r="1197" spans="1:68" ht="14.25" customHeight="1">
      <c r="A1197" s="233">
        <v>540</v>
      </c>
      <c r="B1197" s="234">
        <v>156</v>
      </c>
      <c r="C1197" s="244" t="s">
        <v>928</v>
      </c>
      <c r="D1197" s="244" t="s">
        <v>1273</v>
      </c>
      <c r="E1197" s="244" t="s">
        <v>2501</v>
      </c>
      <c r="F1197" s="245">
        <v>-18</v>
      </c>
      <c r="G1197" s="245">
        <v>-16</v>
      </c>
      <c r="H1197" s="245">
        <v>-9.4</v>
      </c>
      <c r="I1197" s="245">
        <v>-0.3</v>
      </c>
      <c r="J1197" s="245">
        <v>5.7</v>
      </c>
      <c r="K1197" s="245">
        <v>12.8</v>
      </c>
      <c r="L1197" s="245">
        <v>15.9</v>
      </c>
      <c r="M1197" s="245">
        <v>13</v>
      </c>
      <c r="N1197" s="245">
        <v>7</v>
      </c>
      <c r="O1197" s="245">
        <v>-1</v>
      </c>
      <c r="P1197" s="245">
        <v>-9</v>
      </c>
      <c r="Q1197" s="245">
        <v>-15.5</v>
      </c>
      <c r="R1197" s="246">
        <v>-1.2</v>
      </c>
      <c r="S1197" s="233">
        <v>156</v>
      </c>
      <c r="T1197" s="247" t="s">
        <v>2502</v>
      </c>
      <c r="U1197" s="245">
        <v>-47</v>
      </c>
      <c r="V1197" s="245">
        <v>-46</v>
      </c>
      <c r="W1197" s="245">
        <v>-43</v>
      </c>
      <c r="X1197" s="245">
        <v>-41</v>
      </c>
      <c r="Y1197" s="245">
        <v>-23</v>
      </c>
      <c r="Z1197" s="245">
        <v>-51</v>
      </c>
      <c r="AA1197" s="245">
        <v>8.9</v>
      </c>
      <c r="AB1197" s="245">
        <v>187</v>
      </c>
      <c r="AC1197" s="245">
        <v>-11.1</v>
      </c>
      <c r="AD1197" s="245">
        <v>258</v>
      </c>
      <c r="AE1197" s="245">
        <v>-6.9</v>
      </c>
      <c r="AF1197" s="245">
        <v>276</v>
      </c>
      <c r="AG1197" s="245">
        <v>-5.9</v>
      </c>
      <c r="AH1197" s="245">
        <v>83</v>
      </c>
      <c r="AI1197" s="245">
        <v>80</v>
      </c>
      <c r="AJ1197" s="245">
        <v>181</v>
      </c>
      <c r="AK1197" s="245" t="s">
        <v>963</v>
      </c>
      <c r="AL1197" s="245">
        <v>4.8</v>
      </c>
      <c r="AM1197" s="246">
        <v>3.2</v>
      </c>
      <c r="AN1197" s="235">
        <v>156</v>
      </c>
      <c r="AO1197" s="247" t="s">
        <v>2503</v>
      </c>
      <c r="AP1197" s="247">
        <v>1000</v>
      </c>
      <c r="AQ1197" s="247">
        <v>19.3</v>
      </c>
      <c r="AR1197" s="247">
        <v>24.6</v>
      </c>
      <c r="AS1197" s="247">
        <v>21.6</v>
      </c>
      <c r="AT1197" s="247">
        <v>35</v>
      </c>
      <c r="AU1197" s="247">
        <v>11.6</v>
      </c>
      <c r="AV1197" s="247">
        <v>70</v>
      </c>
      <c r="AW1197" s="247">
        <v>58</v>
      </c>
      <c r="AX1197" s="247">
        <v>409</v>
      </c>
      <c r="AY1197" s="247">
        <v>58</v>
      </c>
      <c r="AZ1197" s="247" t="s">
        <v>959</v>
      </c>
      <c r="BA1197" s="248">
        <v>3</v>
      </c>
      <c r="BB1197" s="235">
        <v>136</v>
      </c>
      <c r="BC1197" s="247" t="s">
        <v>2501</v>
      </c>
      <c r="BD1197" s="247">
        <v>1.6</v>
      </c>
      <c r="BE1197" s="247">
        <v>1.8</v>
      </c>
      <c r="BF1197" s="247">
        <v>2.7</v>
      </c>
      <c r="BG1197" s="247">
        <v>4.3</v>
      </c>
      <c r="BH1197" s="247">
        <v>6.1</v>
      </c>
      <c r="BI1197" s="247">
        <v>9.5</v>
      </c>
      <c r="BJ1197" s="247">
        <v>12.6</v>
      </c>
      <c r="BK1197" s="247">
        <v>11.8</v>
      </c>
      <c r="BL1197" s="247">
        <v>8.6</v>
      </c>
      <c r="BM1197" s="247">
        <v>5.3</v>
      </c>
      <c r="BN1197" s="247">
        <v>3.3</v>
      </c>
      <c r="BO1197" s="247">
        <v>2.2000000000000002</v>
      </c>
      <c r="BP1197" s="248">
        <v>5.8</v>
      </c>
    </row>
    <row r="1198" spans="1:68" ht="14.25" customHeight="1">
      <c r="A1198" s="233">
        <v>541</v>
      </c>
      <c r="B1198" s="234">
        <v>323</v>
      </c>
      <c r="C1198" s="244" t="s">
        <v>928</v>
      </c>
      <c r="D1198" s="244" t="s">
        <v>2504</v>
      </c>
      <c r="E1198" s="244" t="s">
        <v>2505</v>
      </c>
      <c r="F1198" s="245">
        <v>-19.899999999999999</v>
      </c>
      <c r="G1198" s="245">
        <v>-9.5</v>
      </c>
      <c r="H1198" s="245">
        <v>-4.0999999999999996</v>
      </c>
      <c r="I1198" s="245">
        <v>5</v>
      </c>
      <c r="J1198" s="245">
        <v>12.9</v>
      </c>
      <c r="K1198" s="245">
        <v>16.7</v>
      </c>
      <c r="L1198" s="245">
        <v>18.600000000000001</v>
      </c>
      <c r="M1198" s="245">
        <v>17.2</v>
      </c>
      <c r="N1198" s="245">
        <v>11.6</v>
      </c>
      <c r="O1198" s="245">
        <v>5</v>
      </c>
      <c r="P1198" s="245">
        <v>-1.1000000000000001</v>
      </c>
      <c r="Q1198" s="245">
        <v>-6.7</v>
      </c>
      <c r="R1198" s="246">
        <v>4.7</v>
      </c>
      <c r="S1198" s="233">
        <v>323</v>
      </c>
      <c r="T1198" s="247" t="s">
        <v>2506</v>
      </c>
      <c r="U1198" s="245">
        <v>-35</v>
      </c>
      <c r="V1198" s="245">
        <v>-31</v>
      </c>
      <c r="W1198" s="245">
        <v>-30</v>
      </c>
      <c r="X1198" s="245">
        <v>-27</v>
      </c>
      <c r="Y1198" s="245">
        <v>-15</v>
      </c>
      <c r="Z1198" s="245">
        <v>-42</v>
      </c>
      <c r="AA1198" s="245">
        <v>6.8</v>
      </c>
      <c r="AB1198" s="245">
        <v>140</v>
      </c>
      <c r="AC1198" s="245">
        <v>-6.4</v>
      </c>
      <c r="AD1198" s="245">
        <v>207</v>
      </c>
      <c r="AE1198" s="245">
        <v>-3</v>
      </c>
      <c r="AF1198" s="245">
        <v>224</v>
      </c>
      <c r="AG1198" s="245">
        <v>-2.1</v>
      </c>
      <c r="AH1198" s="245">
        <v>83</v>
      </c>
      <c r="AI1198" s="245">
        <v>82</v>
      </c>
      <c r="AJ1198" s="245">
        <v>187</v>
      </c>
      <c r="AK1198" s="245" t="s">
        <v>990</v>
      </c>
      <c r="AL1198" s="245">
        <v>4.9000000000000004</v>
      </c>
      <c r="AM1198" s="246">
        <v>4</v>
      </c>
      <c r="AN1198" s="235">
        <v>323</v>
      </c>
      <c r="AO1198" s="247" t="s">
        <v>2507</v>
      </c>
      <c r="AP1198" s="247">
        <v>995</v>
      </c>
      <c r="AQ1198" s="247">
        <v>21.9</v>
      </c>
      <c r="AR1198" s="247">
        <v>26.1</v>
      </c>
      <c r="AS1198" s="247">
        <v>24.3</v>
      </c>
      <c r="AT1198" s="247">
        <v>38</v>
      </c>
      <c r="AU1198" s="247">
        <v>11</v>
      </c>
      <c r="AV1198" s="247">
        <v>70</v>
      </c>
      <c r="AW1198" s="247">
        <v>54</v>
      </c>
      <c r="AX1198" s="247">
        <v>411</v>
      </c>
      <c r="AY1198" s="247">
        <v>68</v>
      </c>
      <c r="AZ1198" s="247" t="s">
        <v>959</v>
      </c>
      <c r="BA1198" s="248">
        <v>3.4</v>
      </c>
      <c r="BB1198" s="235">
        <v>291</v>
      </c>
      <c r="BC1198" s="247" t="s">
        <v>2505</v>
      </c>
      <c r="BD1198" s="247">
        <v>2.8</v>
      </c>
      <c r="BE1198" s="247">
        <v>2.9</v>
      </c>
      <c r="BF1198" s="247">
        <v>4</v>
      </c>
      <c r="BG1198" s="247">
        <v>6.7</v>
      </c>
      <c r="BH1198" s="247">
        <v>9.3000000000000007</v>
      </c>
      <c r="BI1198" s="247">
        <v>12.5</v>
      </c>
      <c r="BJ1198" s="247">
        <v>14.9</v>
      </c>
      <c r="BK1198" s="247">
        <v>14</v>
      </c>
      <c r="BL1198" s="247">
        <v>10.3</v>
      </c>
      <c r="BM1198" s="247">
        <v>7.1</v>
      </c>
      <c r="BN1198" s="247">
        <v>5.0999999999999996</v>
      </c>
      <c r="BO1198" s="247">
        <v>3.7</v>
      </c>
      <c r="BP1198" s="248">
        <v>7.8</v>
      </c>
    </row>
    <row r="1199" spans="1:68" ht="14.25" customHeight="1">
      <c r="A1199" s="233">
        <v>542</v>
      </c>
      <c r="B1199" s="234">
        <v>106</v>
      </c>
      <c r="C1199" s="244" t="s">
        <v>928</v>
      </c>
      <c r="D1199" s="244" t="s">
        <v>1001</v>
      </c>
      <c r="E1199" s="244" t="s">
        <v>2508</v>
      </c>
      <c r="F1199" s="245">
        <v>-21.5</v>
      </c>
      <c r="G1199" s="245">
        <v>-18.3</v>
      </c>
      <c r="H1199" s="245">
        <v>-10.199999999999999</v>
      </c>
      <c r="I1199" s="245">
        <v>0</v>
      </c>
      <c r="J1199" s="245">
        <v>7.7</v>
      </c>
      <c r="K1199" s="245">
        <v>14.4</v>
      </c>
      <c r="L1199" s="245">
        <v>17.2</v>
      </c>
      <c r="M1199" s="245">
        <v>14.1</v>
      </c>
      <c r="N1199" s="245">
        <v>7.3</v>
      </c>
      <c r="O1199" s="245">
        <v>-0.6</v>
      </c>
      <c r="P1199" s="245">
        <v>-11.8</v>
      </c>
      <c r="Q1199" s="245">
        <v>-20.100000000000001</v>
      </c>
      <c r="R1199" s="246">
        <v>-1.8</v>
      </c>
      <c r="S1199" s="233">
        <v>106</v>
      </c>
      <c r="T1199" s="247" t="s">
        <v>2509</v>
      </c>
      <c r="U1199" s="245">
        <v>-45</v>
      </c>
      <c r="V1199" s="245">
        <v>-44</v>
      </c>
      <c r="W1199" s="245">
        <v>-42</v>
      </c>
      <c r="X1199" s="245">
        <v>-40</v>
      </c>
      <c r="Y1199" s="245">
        <v>-26</v>
      </c>
      <c r="Z1199" s="245">
        <v>-54</v>
      </c>
      <c r="AA1199" s="245">
        <v>12.3</v>
      </c>
      <c r="AB1199" s="245">
        <v>184</v>
      </c>
      <c r="AC1199" s="245">
        <v>-13.5</v>
      </c>
      <c r="AD1199" s="245">
        <v>247</v>
      </c>
      <c r="AE1199" s="245">
        <v>-9</v>
      </c>
      <c r="AF1199" s="245">
        <v>265</v>
      </c>
      <c r="AG1199" s="245">
        <v>-7.8</v>
      </c>
      <c r="AH1199" s="245">
        <v>80</v>
      </c>
      <c r="AI1199" s="245">
        <v>70</v>
      </c>
      <c r="AJ1199" s="245">
        <v>79</v>
      </c>
      <c r="AK1199" s="245" t="s">
        <v>990</v>
      </c>
      <c r="AL1199" s="245">
        <v>4.4000000000000004</v>
      </c>
      <c r="AM1199" s="246">
        <v>2</v>
      </c>
      <c r="AN1199" s="235">
        <v>106</v>
      </c>
      <c r="AO1199" s="247" t="s">
        <v>2510</v>
      </c>
      <c r="AP1199" s="247">
        <v>955</v>
      </c>
      <c r="AQ1199" s="247">
        <v>21.6</v>
      </c>
      <c r="AR1199" s="247">
        <v>25.8</v>
      </c>
      <c r="AS1199" s="247">
        <v>24</v>
      </c>
      <c r="AT1199" s="247">
        <v>35</v>
      </c>
      <c r="AU1199" s="247">
        <v>13.8</v>
      </c>
      <c r="AV1199" s="247">
        <v>76</v>
      </c>
      <c r="AW1199" s="247">
        <v>58</v>
      </c>
      <c r="AX1199" s="247">
        <v>359</v>
      </c>
      <c r="AY1199" s="247">
        <v>101</v>
      </c>
      <c r="AZ1199" s="247" t="s">
        <v>959</v>
      </c>
      <c r="BA1199" s="248">
        <v>0</v>
      </c>
      <c r="BB1199" s="235">
        <v>90</v>
      </c>
      <c r="BC1199" s="247" t="s">
        <v>2508</v>
      </c>
      <c r="BD1199" s="247">
        <v>1.1000000000000001</v>
      </c>
      <c r="BE1199" s="247">
        <v>1.2</v>
      </c>
      <c r="BF1199" s="247">
        <v>2</v>
      </c>
      <c r="BG1199" s="247">
        <v>3.6</v>
      </c>
      <c r="BH1199" s="247">
        <v>5.4</v>
      </c>
      <c r="BI1199" s="247">
        <v>10.1</v>
      </c>
      <c r="BJ1199" s="247">
        <v>14</v>
      </c>
      <c r="BK1199" s="247">
        <v>12.2</v>
      </c>
      <c r="BL1199" s="247">
        <v>7.6</v>
      </c>
      <c r="BM1199" s="247">
        <v>4.2</v>
      </c>
      <c r="BN1199" s="247">
        <v>2.2000000000000002</v>
      </c>
      <c r="BO1199" s="247">
        <v>1.4</v>
      </c>
      <c r="BP1199" s="248">
        <v>5.4</v>
      </c>
    </row>
    <row r="1200" spans="1:68" ht="14.25" customHeight="1">
      <c r="A1200" s="233">
        <v>543</v>
      </c>
      <c r="B1200" s="234">
        <v>387</v>
      </c>
      <c r="C1200" s="244" t="s">
        <v>928</v>
      </c>
      <c r="D1200" s="244" t="s">
        <v>947</v>
      </c>
      <c r="E1200" s="244" t="s">
        <v>2511</v>
      </c>
      <c r="F1200" s="245">
        <v>-31</v>
      </c>
      <c r="G1200" s="245">
        <v>-26.5</v>
      </c>
      <c r="H1200" s="245">
        <v>-16</v>
      </c>
      <c r="I1200" s="245">
        <v>-3</v>
      </c>
      <c r="J1200" s="245">
        <v>6</v>
      </c>
      <c r="K1200" s="245">
        <v>13.1</v>
      </c>
      <c r="L1200" s="245">
        <v>15.8</v>
      </c>
      <c r="M1200" s="245">
        <v>12.8</v>
      </c>
      <c r="N1200" s="245">
        <v>5.5</v>
      </c>
      <c r="O1200" s="245">
        <v>-4.5</v>
      </c>
      <c r="P1200" s="245">
        <v>-19.2</v>
      </c>
      <c r="Q1200" s="245">
        <v>-29.3</v>
      </c>
      <c r="R1200" s="246">
        <v>-6.4</v>
      </c>
      <c r="S1200" s="233">
        <v>387</v>
      </c>
      <c r="T1200" s="247" t="s">
        <v>2512</v>
      </c>
      <c r="U1200" s="245">
        <v>-48</v>
      </c>
      <c r="V1200" s="245">
        <v>-46</v>
      </c>
      <c r="W1200" s="245">
        <v>-47</v>
      </c>
      <c r="X1200" s="245">
        <v>-45</v>
      </c>
      <c r="Y1200" s="245">
        <v>-36</v>
      </c>
      <c r="Z1200" s="245">
        <v>-54</v>
      </c>
      <c r="AA1200" s="245">
        <v>18.7</v>
      </c>
      <c r="AB1200" s="245">
        <v>205</v>
      </c>
      <c r="AC1200" s="245">
        <v>-18.7</v>
      </c>
      <c r="AD1200" s="245">
        <v>262</v>
      </c>
      <c r="AE1200" s="245">
        <v>-13.8</v>
      </c>
      <c r="AF1200" s="245">
        <v>278</v>
      </c>
      <c r="AG1200" s="245">
        <v>-12.4</v>
      </c>
      <c r="AH1200" s="245">
        <v>76</v>
      </c>
      <c r="AI1200" s="245">
        <v>68</v>
      </c>
      <c r="AJ1200" s="245">
        <v>27</v>
      </c>
      <c r="AK1200" s="245" t="s">
        <v>971</v>
      </c>
      <c r="AL1200" s="245" t="s">
        <v>931</v>
      </c>
      <c r="AM1200" s="246">
        <v>1.5</v>
      </c>
      <c r="AN1200" s="235">
        <v>387</v>
      </c>
      <c r="AO1200" s="247" t="s">
        <v>2513</v>
      </c>
      <c r="AP1200" s="247">
        <v>920</v>
      </c>
      <c r="AQ1200" s="247">
        <v>21.5</v>
      </c>
      <c r="AR1200" s="247">
        <v>25.7</v>
      </c>
      <c r="AS1200" s="247">
        <v>23.9</v>
      </c>
      <c r="AT1200" s="247">
        <v>35</v>
      </c>
      <c r="AU1200" s="247">
        <v>13.5</v>
      </c>
      <c r="AV1200" s="247">
        <v>76</v>
      </c>
      <c r="AW1200" s="247">
        <v>54</v>
      </c>
      <c r="AX1200" s="247">
        <v>354</v>
      </c>
      <c r="AY1200" s="247">
        <v>66</v>
      </c>
      <c r="AZ1200" s="247" t="s">
        <v>978</v>
      </c>
      <c r="BA1200" s="248" t="s">
        <v>934</v>
      </c>
      <c r="BB1200" s="235">
        <v>351</v>
      </c>
      <c r="BC1200" s="247" t="s">
        <v>2511</v>
      </c>
      <c r="BD1200" s="247">
        <v>0.5</v>
      </c>
      <c r="BE1200" s="247">
        <v>0.7</v>
      </c>
      <c r="BF1200" s="247">
        <v>1.4</v>
      </c>
      <c r="BG1200" s="247">
        <v>2.8</v>
      </c>
      <c r="BH1200" s="247">
        <v>4.8</v>
      </c>
      <c r="BI1200" s="247">
        <v>9.4</v>
      </c>
      <c r="BJ1200" s="247">
        <v>13.3</v>
      </c>
      <c r="BK1200" s="247">
        <v>11.5</v>
      </c>
      <c r="BL1200" s="247">
        <v>6.3</v>
      </c>
      <c r="BM1200" s="247">
        <v>3.1</v>
      </c>
      <c r="BN1200" s="247">
        <v>1.2</v>
      </c>
      <c r="BO1200" s="247">
        <v>0.6</v>
      </c>
      <c r="BP1200" s="248">
        <v>4.5999999999999996</v>
      </c>
    </row>
    <row r="1201" spans="1:68" ht="14.25" customHeight="1">
      <c r="A1201" s="233">
        <v>544</v>
      </c>
      <c r="B1201" s="234">
        <v>440</v>
      </c>
      <c r="C1201" s="244" t="s">
        <v>928</v>
      </c>
      <c r="D1201" s="244" t="s">
        <v>969</v>
      </c>
      <c r="E1201" s="244" t="s">
        <v>2514</v>
      </c>
      <c r="F1201" s="245">
        <v>-33.200000000000003</v>
      </c>
      <c r="G1201" s="245">
        <v>-29.3</v>
      </c>
      <c r="H1201" s="245">
        <v>-18.8</v>
      </c>
      <c r="I1201" s="245">
        <v>-6.4</v>
      </c>
      <c r="J1201" s="245">
        <v>4.3</v>
      </c>
      <c r="K1201" s="245">
        <v>13.3</v>
      </c>
      <c r="L1201" s="245">
        <v>16.5</v>
      </c>
      <c r="M1201" s="245">
        <v>13</v>
      </c>
      <c r="N1201" s="245">
        <v>5.4</v>
      </c>
      <c r="O1201" s="245">
        <v>-6.3</v>
      </c>
      <c r="P1201" s="245">
        <v>-23.6</v>
      </c>
      <c r="Q1201" s="245">
        <v>-31.2</v>
      </c>
      <c r="R1201" s="246">
        <v>-8</v>
      </c>
      <c r="S1201" s="233">
        <v>440</v>
      </c>
      <c r="T1201" s="247" t="s">
        <v>2515</v>
      </c>
      <c r="U1201" s="245">
        <v>-58</v>
      </c>
      <c r="V1201" s="245">
        <v>-55</v>
      </c>
      <c r="W1201" s="245">
        <v>-54</v>
      </c>
      <c r="X1201" s="245">
        <v>-52</v>
      </c>
      <c r="Y1201" s="245">
        <v>-38</v>
      </c>
      <c r="Z1201" s="245">
        <v>-59</v>
      </c>
      <c r="AA1201" s="245">
        <v>10.4</v>
      </c>
      <c r="AB1201" s="245">
        <v>216</v>
      </c>
      <c r="AC1201" s="245">
        <v>-20.399999999999999</v>
      </c>
      <c r="AD1201" s="245">
        <v>266</v>
      </c>
      <c r="AE1201" s="245">
        <v>-15.8</v>
      </c>
      <c r="AF1201" s="245">
        <v>280</v>
      </c>
      <c r="AG1201" s="245">
        <v>-14.5</v>
      </c>
      <c r="AH1201" s="245">
        <v>76</v>
      </c>
      <c r="AI1201" s="245">
        <v>75</v>
      </c>
      <c r="AJ1201" s="245">
        <v>72</v>
      </c>
      <c r="AK1201" s="245" t="s">
        <v>971</v>
      </c>
      <c r="AL1201" s="245">
        <v>3</v>
      </c>
      <c r="AM1201" s="246">
        <v>1.9</v>
      </c>
      <c r="AN1201" s="235">
        <v>440</v>
      </c>
      <c r="AO1201" s="247" t="s">
        <v>2516</v>
      </c>
      <c r="AP1201" s="247">
        <v>980</v>
      </c>
      <c r="AQ1201" s="247">
        <v>21.1</v>
      </c>
      <c r="AR1201" s="247">
        <v>25.3</v>
      </c>
      <c r="AS1201" s="247">
        <v>23.5</v>
      </c>
      <c r="AT1201" s="247">
        <v>36</v>
      </c>
      <c r="AU1201" s="247">
        <v>14.6</v>
      </c>
      <c r="AV1201" s="247">
        <v>68</v>
      </c>
      <c r="AW1201" s="247">
        <v>50</v>
      </c>
      <c r="AX1201" s="247">
        <v>260</v>
      </c>
      <c r="AY1201" s="247">
        <v>56</v>
      </c>
      <c r="AZ1201" s="247" t="s">
        <v>1005</v>
      </c>
      <c r="BA1201" s="248">
        <v>0</v>
      </c>
      <c r="BB1201" s="235"/>
      <c r="BC1201" s="247" t="s">
        <v>2515</v>
      </c>
      <c r="BD1201" s="247"/>
      <c r="BE1201" s="247"/>
      <c r="BF1201" s="247"/>
      <c r="BG1201" s="247"/>
      <c r="BH1201" s="247"/>
      <c r="BI1201" s="247"/>
      <c r="BJ1201" s="247"/>
      <c r="BK1201" s="247"/>
      <c r="BL1201" s="247"/>
      <c r="BM1201" s="247"/>
      <c r="BN1201" s="247"/>
      <c r="BO1201" s="247"/>
      <c r="BP1201" s="248"/>
    </row>
    <row r="1202" spans="1:68" ht="14.25" customHeight="1">
      <c r="A1202" s="233">
        <v>545</v>
      </c>
      <c r="B1202" s="234">
        <v>388</v>
      </c>
      <c r="C1202" s="244" t="s">
        <v>928</v>
      </c>
      <c r="D1202" s="244" t="s">
        <v>947</v>
      </c>
      <c r="E1202" s="244" t="s">
        <v>2517</v>
      </c>
      <c r="F1202" s="245">
        <v>-32.700000000000003</v>
      </c>
      <c r="G1202" s="245">
        <v>-27.8</v>
      </c>
      <c r="H1202" s="245">
        <v>-16.8</v>
      </c>
      <c r="I1202" s="245">
        <v>-3.6</v>
      </c>
      <c r="J1202" s="245">
        <v>6</v>
      </c>
      <c r="K1202" s="245">
        <v>13.4</v>
      </c>
      <c r="L1202" s="245">
        <v>16.3</v>
      </c>
      <c r="M1202" s="245">
        <v>13.1</v>
      </c>
      <c r="N1202" s="245">
        <v>5.9</v>
      </c>
      <c r="O1202" s="245">
        <v>-5.0999999999999996</v>
      </c>
      <c r="P1202" s="245">
        <v>-20.5</v>
      </c>
      <c r="Q1202" s="245">
        <v>-30.8</v>
      </c>
      <c r="R1202" s="246">
        <v>-6.9</v>
      </c>
      <c r="S1202" s="233">
        <v>388</v>
      </c>
      <c r="T1202" s="247" t="s">
        <v>2518</v>
      </c>
      <c r="U1202" s="245">
        <v>-50</v>
      </c>
      <c r="V1202" s="245">
        <v>-46</v>
      </c>
      <c r="W1202" s="245">
        <v>-46</v>
      </c>
      <c r="X1202" s="245">
        <v>-44</v>
      </c>
      <c r="Y1202" s="245">
        <v>-38</v>
      </c>
      <c r="Z1202" s="245">
        <v>-56</v>
      </c>
      <c r="AA1202" s="245">
        <v>15.4</v>
      </c>
      <c r="AB1202" s="245">
        <v>207</v>
      </c>
      <c r="AC1202" s="245">
        <v>-19.7</v>
      </c>
      <c r="AD1202" s="245">
        <v>260</v>
      </c>
      <c r="AE1202" s="245">
        <v>-14.8</v>
      </c>
      <c r="AF1202" s="245">
        <v>276</v>
      </c>
      <c r="AG1202" s="245">
        <v>-13.4</v>
      </c>
      <c r="AH1202" s="245">
        <v>76</v>
      </c>
      <c r="AI1202" s="245">
        <v>70</v>
      </c>
      <c r="AJ1202" s="245">
        <v>45</v>
      </c>
      <c r="AK1202" s="245" t="s">
        <v>963</v>
      </c>
      <c r="AL1202" s="245" t="s">
        <v>931</v>
      </c>
      <c r="AM1202" s="246">
        <v>1.5</v>
      </c>
      <c r="AN1202" s="235">
        <v>388</v>
      </c>
      <c r="AO1202" s="247" t="s">
        <v>2519</v>
      </c>
      <c r="AP1202" s="247">
        <v>935</v>
      </c>
      <c r="AQ1202" s="247">
        <v>22</v>
      </c>
      <c r="AR1202" s="247">
        <v>26.2</v>
      </c>
      <c r="AS1202" s="247">
        <v>24.4</v>
      </c>
      <c r="AT1202" s="247">
        <v>36</v>
      </c>
      <c r="AU1202" s="247">
        <v>15.6</v>
      </c>
      <c r="AV1202" s="247">
        <v>76</v>
      </c>
      <c r="AW1202" s="247">
        <v>55</v>
      </c>
      <c r="AX1202" s="247">
        <v>460</v>
      </c>
      <c r="AY1202" s="247" t="s">
        <v>965</v>
      </c>
      <c r="AZ1202" s="247" t="s">
        <v>973</v>
      </c>
      <c r="BA1202" s="248" t="s">
        <v>934</v>
      </c>
      <c r="BB1202" s="235">
        <v>352</v>
      </c>
      <c r="BC1202" s="247" t="s">
        <v>2517</v>
      </c>
      <c r="BD1202" s="247">
        <v>0.4</v>
      </c>
      <c r="BE1202" s="247">
        <v>0.6</v>
      </c>
      <c r="BF1202" s="247">
        <v>1.3</v>
      </c>
      <c r="BG1202" s="247">
        <v>2.8</v>
      </c>
      <c r="BH1202" s="247">
        <v>5.2</v>
      </c>
      <c r="BI1202" s="247">
        <v>10.199999999999999</v>
      </c>
      <c r="BJ1202" s="247">
        <v>13.8</v>
      </c>
      <c r="BK1202" s="247">
        <v>12</v>
      </c>
      <c r="BL1202" s="247">
        <v>6.8</v>
      </c>
      <c r="BM1202" s="247">
        <v>3</v>
      </c>
      <c r="BN1202" s="247">
        <v>1.1000000000000001</v>
      </c>
      <c r="BO1202" s="247">
        <v>0.5</v>
      </c>
      <c r="BP1202" s="248">
        <v>4.8</v>
      </c>
    </row>
    <row r="1203" spans="1:68" ht="14.25" customHeight="1">
      <c r="A1203" s="233">
        <v>546</v>
      </c>
      <c r="B1203" s="234">
        <v>190</v>
      </c>
      <c r="C1203" s="244" t="s">
        <v>928</v>
      </c>
      <c r="D1203" s="244" t="s">
        <v>935</v>
      </c>
      <c r="E1203" s="244" t="s">
        <v>2520</v>
      </c>
      <c r="F1203" s="245">
        <v>-36.5</v>
      </c>
      <c r="G1203" s="245">
        <v>-32.4</v>
      </c>
      <c r="H1203" s="245">
        <v>-19.5</v>
      </c>
      <c r="I1203" s="245">
        <v>-7</v>
      </c>
      <c r="J1203" s="245">
        <v>3</v>
      </c>
      <c r="K1203" s="245">
        <v>12.4</v>
      </c>
      <c r="L1203" s="245">
        <v>16.3</v>
      </c>
      <c r="M1203" s="245">
        <v>12.3</v>
      </c>
      <c r="N1203" s="245">
        <v>5</v>
      </c>
      <c r="O1203" s="245">
        <v>-6.8</v>
      </c>
      <c r="P1203" s="245">
        <v>-25.8</v>
      </c>
      <c r="Q1203" s="245">
        <v>-33.5</v>
      </c>
      <c r="R1203" s="246">
        <v>-9.4</v>
      </c>
      <c r="S1203" s="233">
        <v>190</v>
      </c>
      <c r="T1203" s="247" t="s">
        <v>2521</v>
      </c>
      <c r="U1203" s="245">
        <v>-59</v>
      </c>
      <c r="V1203" s="245">
        <v>-57</v>
      </c>
      <c r="W1203" s="245">
        <v>-57</v>
      </c>
      <c r="X1203" s="245">
        <v>-55</v>
      </c>
      <c r="Y1203" s="245">
        <v>-42</v>
      </c>
      <c r="Z1203" s="245">
        <v>-60</v>
      </c>
      <c r="AA1203" s="245">
        <v>12.7</v>
      </c>
      <c r="AB1203" s="245">
        <v>220</v>
      </c>
      <c r="AC1203" s="245">
        <v>-21.8</v>
      </c>
      <c r="AD1203" s="245">
        <v>271</v>
      </c>
      <c r="AE1203" s="245">
        <v>-16.899999999999999</v>
      </c>
      <c r="AF1203" s="245">
        <v>286</v>
      </c>
      <c r="AG1203" s="245">
        <v>-15.6</v>
      </c>
      <c r="AH1203" s="245">
        <v>77</v>
      </c>
      <c r="AI1203" s="245">
        <v>76</v>
      </c>
      <c r="AJ1203" s="245">
        <v>76</v>
      </c>
      <c r="AK1203" s="245" t="s">
        <v>944</v>
      </c>
      <c r="AL1203" s="245">
        <v>2.7</v>
      </c>
      <c r="AM1203" s="246">
        <v>2</v>
      </c>
      <c r="AN1203" s="235">
        <v>190</v>
      </c>
      <c r="AO1203" s="247" t="s">
        <v>2522</v>
      </c>
      <c r="AP1203" s="247">
        <v>990</v>
      </c>
      <c r="AQ1203" s="247">
        <v>20.2</v>
      </c>
      <c r="AR1203" s="247">
        <v>25</v>
      </c>
      <c r="AS1203" s="247">
        <v>23.5</v>
      </c>
      <c r="AT1203" s="247">
        <v>38</v>
      </c>
      <c r="AU1203" s="247">
        <v>13.8</v>
      </c>
      <c r="AV1203" s="247">
        <v>68</v>
      </c>
      <c r="AW1203" s="247">
        <v>48</v>
      </c>
      <c r="AX1203" s="247">
        <v>292</v>
      </c>
      <c r="AY1203" s="247">
        <v>50</v>
      </c>
      <c r="AZ1203" s="247" t="s">
        <v>1038</v>
      </c>
      <c r="BA1203" s="248">
        <v>0</v>
      </c>
      <c r="BB1203" s="235">
        <v>168</v>
      </c>
      <c r="BC1203" s="247" t="s">
        <v>2520</v>
      </c>
      <c r="BD1203" s="247">
        <v>0.3</v>
      </c>
      <c r="BE1203" s="247">
        <v>0.5</v>
      </c>
      <c r="BF1203" s="247">
        <v>1.2</v>
      </c>
      <c r="BG1203" s="247">
        <v>2.6</v>
      </c>
      <c r="BH1203" s="247">
        <v>4.5999999999999996</v>
      </c>
      <c r="BI1203" s="247">
        <v>8.6999999999999993</v>
      </c>
      <c r="BJ1203" s="247">
        <v>12.3</v>
      </c>
      <c r="BK1203" s="247">
        <v>10.7</v>
      </c>
      <c r="BL1203" s="247">
        <v>6.8</v>
      </c>
      <c r="BM1203" s="247">
        <v>3.3</v>
      </c>
      <c r="BN1203" s="247">
        <v>0.9</v>
      </c>
      <c r="BO1203" s="247">
        <v>0.5</v>
      </c>
      <c r="BP1203" s="248">
        <v>4.4000000000000004</v>
      </c>
    </row>
    <row r="1204" spans="1:68" ht="14.25" customHeight="1">
      <c r="A1204" s="233">
        <v>547</v>
      </c>
      <c r="B1204" s="234">
        <v>536</v>
      </c>
      <c r="C1204" s="244" t="s">
        <v>960</v>
      </c>
      <c r="D1204" s="244" t="s">
        <v>1006</v>
      </c>
      <c r="E1204" s="244" t="s">
        <v>2523</v>
      </c>
      <c r="F1204" s="245">
        <v>-16.2</v>
      </c>
      <c r="G1204" s="245">
        <v>-15.9</v>
      </c>
      <c r="H1204" s="245">
        <v>-8.1</v>
      </c>
      <c r="I1204" s="245">
        <v>6.4</v>
      </c>
      <c r="J1204" s="245">
        <v>16</v>
      </c>
      <c r="K1204" s="245">
        <v>22</v>
      </c>
      <c r="L1204" s="245">
        <v>24.4</v>
      </c>
      <c r="M1204" s="245">
        <v>21.7</v>
      </c>
      <c r="N1204" s="245">
        <v>15</v>
      </c>
      <c r="O1204" s="245">
        <v>5.2</v>
      </c>
      <c r="P1204" s="245">
        <v>-4.0999999999999996</v>
      </c>
      <c r="Q1204" s="245">
        <v>-12.2</v>
      </c>
      <c r="R1204" s="246">
        <v>4.5</v>
      </c>
      <c r="S1204" s="233">
        <v>536</v>
      </c>
      <c r="T1204" s="247" t="s">
        <v>2523</v>
      </c>
      <c r="U1204" s="245">
        <v>-37</v>
      </c>
      <c r="V1204" s="245">
        <v>-34</v>
      </c>
      <c r="W1204" s="245">
        <v>-33</v>
      </c>
      <c r="X1204" s="245">
        <v>-31</v>
      </c>
      <c r="Y1204" s="245">
        <v>-23</v>
      </c>
      <c r="Z1204" s="245" t="s">
        <v>931</v>
      </c>
      <c r="AA1204" s="245">
        <v>9.4</v>
      </c>
      <c r="AB1204" s="245">
        <v>152</v>
      </c>
      <c r="AC1204" s="245">
        <v>-11.2</v>
      </c>
      <c r="AD1204" s="245">
        <v>194</v>
      </c>
      <c r="AE1204" s="245">
        <v>-7.8</v>
      </c>
      <c r="AF1204" s="245">
        <v>207</v>
      </c>
      <c r="AG1204" s="245">
        <v>-6.9</v>
      </c>
      <c r="AH1204" s="245">
        <v>80</v>
      </c>
      <c r="AI1204" s="245">
        <v>78</v>
      </c>
      <c r="AJ1204" s="245">
        <v>88</v>
      </c>
      <c r="AK1204" s="245" t="s">
        <v>938</v>
      </c>
      <c r="AL1204" s="245">
        <v>6.3</v>
      </c>
      <c r="AM1204" s="246">
        <v>4.9000000000000004</v>
      </c>
      <c r="AN1204" s="235">
        <v>536</v>
      </c>
      <c r="AO1204" s="247" t="s">
        <v>2524</v>
      </c>
      <c r="AP1204" s="247">
        <v>1005</v>
      </c>
      <c r="AQ1204" s="247">
        <v>29.7</v>
      </c>
      <c r="AR1204" s="247">
        <v>33.5</v>
      </c>
      <c r="AS1204" s="247">
        <v>31</v>
      </c>
      <c r="AT1204" s="247">
        <v>43</v>
      </c>
      <c r="AU1204" s="247">
        <v>13.6</v>
      </c>
      <c r="AV1204" s="247">
        <v>44</v>
      </c>
      <c r="AW1204" s="247">
        <v>30</v>
      </c>
      <c r="AX1204" s="247">
        <v>134</v>
      </c>
      <c r="AY1204" s="247" t="s">
        <v>965</v>
      </c>
      <c r="AZ1204" s="247" t="s">
        <v>940</v>
      </c>
      <c r="BA1204" s="248">
        <v>4.9000000000000004</v>
      </c>
      <c r="BB1204" s="235"/>
      <c r="BC1204" s="247" t="s">
        <v>2523</v>
      </c>
      <c r="BD1204" s="247"/>
      <c r="BE1204" s="247"/>
      <c r="BF1204" s="247"/>
      <c r="BG1204" s="247"/>
      <c r="BH1204" s="247"/>
      <c r="BI1204" s="247"/>
      <c r="BJ1204" s="247"/>
      <c r="BK1204" s="247"/>
      <c r="BL1204" s="247"/>
      <c r="BM1204" s="247"/>
      <c r="BN1204" s="247"/>
      <c r="BO1204" s="247"/>
      <c r="BP1204" s="248"/>
    </row>
    <row r="1205" spans="1:68" ht="14.25" customHeight="1">
      <c r="A1205" s="233">
        <v>548</v>
      </c>
      <c r="B1205" s="234">
        <v>282</v>
      </c>
      <c r="C1205" s="244" t="s">
        <v>928</v>
      </c>
      <c r="D1205" s="244" t="s">
        <v>1290</v>
      </c>
      <c r="E1205" s="244" t="s">
        <v>2525</v>
      </c>
      <c r="F1205" s="245">
        <v>-18</v>
      </c>
      <c r="G1205" s="245">
        <v>-16.2</v>
      </c>
      <c r="H1205" s="245">
        <v>-8.3000000000000007</v>
      </c>
      <c r="I1205" s="245">
        <v>3</v>
      </c>
      <c r="J1205" s="245">
        <v>10.8</v>
      </c>
      <c r="K1205" s="245">
        <v>15.7</v>
      </c>
      <c r="L1205" s="245">
        <v>17.8</v>
      </c>
      <c r="M1205" s="245">
        <v>15</v>
      </c>
      <c r="N1205" s="245">
        <v>9.5</v>
      </c>
      <c r="O1205" s="245">
        <v>0.9</v>
      </c>
      <c r="P1205" s="245">
        <v>-7.7</v>
      </c>
      <c r="Q1205" s="245">
        <v>-14.8</v>
      </c>
      <c r="R1205" s="246">
        <v>0.6</v>
      </c>
      <c r="S1205" s="233">
        <v>282</v>
      </c>
      <c r="T1205" s="247" t="s">
        <v>2526</v>
      </c>
      <c r="U1205" s="245">
        <v>-44</v>
      </c>
      <c r="V1205" s="245">
        <v>-42</v>
      </c>
      <c r="W1205" s="245">
        <v>-40</v>
      </c>
      <c r="X1205" s="245">
        <v>-35</v>
      </c>
      <c r="Y1205" s="245">
        <v>-21</v>
      </c>
      <c r="Z1205" s="245">
        <v>-51</v>
      </c>
      <c r="AA1205" s="245">
        <v>9.9</v>
      </c>
      <c r="AB1205" s="245">
        <v>169</v>
      </c>
      <c r="AC1205" s="245">
        <v>-11.7</v>
      </c>
      <c r="AD1205" s="245">
        <v>226</v>
      </c>
      <c r="AE1205" s="245">
        <v>-7.7</v>
      </c>
      <c r="AF1205" s="245">
        <v>245</v>
      </c>
      <c r="AG1205" s="245">
        <v>-6.4</v>
      </c>
      <c r="AH1205" s="245">
        <v>80</v>
      </c>
      <c r="AI1205" s="245">
        <v>77</v>
      </c>
      <c r="AJ1205" s="245">
        <v>106</v>
      </c>
      <c r="AK1205" s="245" t="s">
        <v>971</v>
      </c>
      <c r="AL1205" s="245" t="s">
        <v>931</v>
      </c>
      <c r="AM1205" s="246">
        <v>3.5</v>
      </c>
      <c r="AN1205" s="235">
        <v>300</v>
      </c>
      <c r="AO1205" s="247" t="s">
        <v>2527</v>
      </c>
      <c r="AP1205" s="247">
        <v>995</v>
      </c>
      <c r="AQ1205" s="247">
        <v>21</v>
      </c>
      <c r="AR1205" s="247">
        <v>27</v>
      </c>
      <c r="AS1205" s="247">
        <v>23.6</v>
      </c>
      <c r="AT1205" s="247">
        <v>38</v>
      </c>
      <c r="AU1205" s="247">
        <v>11.5</v>
      </c>
      <c r="AV1205" s="247">
        <v>73</v>
      </c>
      <c r="AW1205" s="247">
        <v>58</v>
      </c>
      <c r="AX1205" s="247">
        <v>343</v>
      </c>
      <c r="AY1205" s="247">
        <v>51</v>
      </c>
      <c r="AZ1205" s="247" t="s">
        <v>959</v>
      </c>
      <c r="BA1205" s="248" t="s">
        <v>934</v>
      </c>
      <c r="BB1205" s="235">
        <v>271</v>
      </c>
      <c r="BC1205" s="247" t="s">
        <v>2525</v>
      </c>
      <c r="BD1205" s="247">
        <v>1.6</v>
      </c>
      <c r="BE1205" s="247">
        <v>1.6</v>
      </c>
      <c r="BF1205" s="247">
        <v>2.7</v>
      </c>
      <c r="BG1205" s="247">
        <v>5.3</v>
      </c>
      <c r="BH1205" s="247">
        <v>7.6</v>
      </c>
      <c r="BI1205" s="247">
        <v>11.6</v>
      </c>
      <c r="BJ1205" s="247">
        <v>14.8</v>
      </c>
      <c r="BK1205" s="247">
        <v>13.2</v>
      </c>
      <c r="BL1205" s="247">
        <v>9.3000000000000007</v>
      </c>
      <c r="BM1205" s="247">
        <v>5.4</v>
      </c>
      <c r="BN1205" s="247">
        <v>3.2</v>
      </c>
      <c r="BO1205" s="247">
        <v>2</v>
      </c>
      <c r="BP1205" s="248">
        <v>6.5</v>
      </c>
    </row>
    <row r="1206" spans="1:68" ht="14.25" customHeight="1">
      <c r="A1206" s="233">
        <v>549</v>
      </c>
      <c r="B1206" s="234">
        <v>537</v>
      </c>
      <c r="C1206" s="244" t="s">
        <v>960</v>
      </c>
      <c r="D1206" s="244" t="s">
        <v>2528</v>
      </c>
      <c r="E1206" s="244" t="s">
        <v>2529</v>
      </c>
      <c r="F1206" s="245">
        <v>-5.4</v>
      </c>
      <c r="G1206" s="245">
        <v>-2.2000000000000002</v>
      </c>
      <c r="H1206" s="245">
        <v>5.4</v>
      </c>
      <c r="I1206" s="245">
        <v>14.1</v>
      </c>
      <c r="J1206" s="245">
        <v>20.6</v>
      </c>
      <c r="K1206" s="245">
        <v>25.9</v>
      </c>
      <c r="L1206" s="245">
        <v>28.4</v>
      </c>
      <c r="M1206" s="245">
        <v>26.3</v>
      </c>
      <c r="N1206" s="245">
        <v>19.8</v>
      </c>
      <c r="O1206" s="245">
        <v>11</v>
      </c>
      <c r="P1206" s="245">
        <v>3.1</v>
      </c>
      <c r="Q1206" s="245">
        <v>-2.2999999999999998</v>
      </c>
      <c r="R1206" s="246">
        <v>12.1</v>
      </c>
      <c r="S1206" s="233">
        <v>537</v>
      </c>
      <c r="T1206" s="247" t="s">
        <v>2529</v>
      </c>
      <c r="U1206" s="245">
        <v>-29</v>
      </c>
      <c r="V1206" s="245">
        <v>-26</v>
      </c>
      <c r="W1206" s="245">
        <v>-24</v>
      </c>
      <c r="X1206" s="245">
        <v>-21</v>
      </c>
      <c r="Y1206" s="245">
        <v>-10</v>
      </c>
      <c r="Z1206" s="245" t="s">
        <v>931</v>
      </c>
      <c r="AA1206" s="245">
        <v>10.1</v>
      </c>
      <c r="AB1206" s="245">
        <v>86</v>
      </c>
      <c r="AC1206" s="245">
        <v>-3.6</v>
      </c>
      <c r="AD1206" s="245">
        <v>151</v>
      </c>
      <c r="AE1206" s="245">
        <v>-0.3</v>
      </c>
      <c r="AF1206" s="245">
        <v>165</v>
      </c>
      <c r="AG1206" s="245">
        <v>0.5</v>
      </c>
      <c r="AH1206" s="245" t="s">
        <v>956</v>
      </c>
      <c r="AI1206" s="245">
        <v>74</v>
      </c>
      <c r="AJ1206" s="245">
        <v>134</v>
      </c>
      <c r="AK1206" s="245" t="s">
        <v>982</v>
      </c>
      <c r="AL1206" s="245">
        <v>2.6</v>
      </c>
      <c r="AM1206" s="246">
        <v>2.5</v>
      </c>
      <c r="AN1206" s="235">
        <v>537</v>
      </c>
      <c r="AO1206" s="247" t="s">
        <v>2530</v>
      </c>
      <c r="AP1206" s="247" t="s">
        <v>965</v>
      </c>
      <c r="AQ1206" s="247">
        <v>33.6</v>
      </c>
      <c r="AR1206" s="247">
        <v>37.1</v>
      </c>
      <c r="AS1206" s="247">
        <v>36.4</v>
      </c>
      <c r="AT1206" s="247">
        <v>49</v>
      </c>
      <c r="AU1206" s="247">
        <v>17.7</v>
      </c>
      <c r="AV1206" s="247" t="s">
        <v>958</v>
      </c>
      <c r="AW1206" s="247">
        <v>17</v>
      </c>
      <c r="AX1206" s="247">
        <v>72</v>
      </c>
      <c r="AY1206" s="247" t="s">
        <v>965</v>
      </c>
      <c r="AZ1206" s="247" t="s">
        <v>940</v>
      </c>
      <c r="BA1206" s="248">
        <v>3.2</v>
      </c>
      <c r="BB1206" s="235"/>
      <c r="BC1206" s="247" t="s">
        <v>2529</v>
      </c>
      <c r="BD1206" s="247"/>
      <c r="BE1206" s="247"/>
      <c r="BF1206" s="247"/>
      <c r="BG1206" s="247"/>
      <c r="BH1206" s="247"/>
      <c r="BI1206" s="247"/>
      <c r="BJ1206" s="247"/>
      <c r="BK1206" s="247"/>
      <c r="BL1206" s="247"/>
      <c r="BM1206" s="247"/>
      <c r="BN1206" s="247"/>
      <c r="BO1206" s="247"/>
      <c r="BP1206" s="248"/>
    </row>
    <row r="1207" spans="1:68" ht="14.25" customHeight="1">
      <c r="A1207" s="233">
        <v>550</v>
      </c>
      <c r="B1207" s="234">
        <v>559</v>
      </c>
      <c r="C1207" s="249" t="s">
        <v>1074</v>
      </c>
      <c r="D1207" s="249" t="s">
        <v>1357</v>
      </c>
      <c r="E1207" s="244" t="s">
        <v>2531</v>
      </c>
      <c r="F1207" s="245"/>
      <c r="G1207" s="245"/>
      <c r="H1207" s="245"/>
      <c r="I1207" s="245"/>
      <c r="J1207" s="245"/>
      <c r="K1207" s="245"/>
      <c r="L1207" s="245"/>
      <c r="M1207" s="245"/>
      <c r="N1207" s="245"/>
      <c r="O1207" s="245"/>
      <c r="P1207" s="245"/>
      <c r="Q1207" s="245"/>
      <c r="R1207" s="246"/>
      <c r="S1207" s="250">
        <v>559</v>
      </c>
      <c r="T1207" s="247" t="s">
        <v>2531</v>
      </c>
      <c r="U1207" s="245">
        <v>-18</v>
      </c>
      <c r="V1207" s="245">
        <v>-14</v>
      </c>
      <c r="W1207" s="245">
        <v>-13</v>
      </c>
      <c r="X1207" s="245">
        <v>-11</v>
      </c>
      <c r="Y1207" s="245">
        <v>-3</v>
      </c>
      <c r="Z1207" s="245">
        <v>-22</v>
      </c>
      <c r="AA1207" s="245">
        <v>8.1</v>
      </c>
      <c r="AB1207" s="245">
        <v>0</v>
      </c>
      <c r="AC1207" s="245" t="s">
        <v>830</v>
      </c>
      <c r="AD1207" s="245">
        <v>124</v>
      </c>
      <c r="AE1207" s="245">
        <v>4.0999999999999996</v>
      </c>
      <c r="AF1207" s="245">
        <v>144</v>
      </c>
      <c r="AG1207" s="245">
        <v>4.5999999999999996</v>
      </c>
      <c r="AH1207" s="245" t="s">
        <v>956</v>
      </c>
      <c r="AI1207" s="245">
        <v>61</v>
      </c>
      <c r="AJ1207" s="245">
        <v>82</v>
      </c>
      <c r="AK1207" s="245" t="s">
        <v>990</v>
      </c>
      <c r="AL1207" s="245">
        <v>6.5</v>
      </c>
      <c r="AM1207" s="246" t="s">
        <v>931</v>
      </c>
      <c r="AN1207" s="235">
        <v>560</v>
      </c>
      <c r="AO1207" s="247" t="s">
        <v>2532</v>
      </c>
      <c r="AP1207" s="247">
        <v>1005</v>
      </c>
      <c r="AQ1207" s="247">
        <v>37</v>
      </c>
      <c r="AR1207" s="247">
        <v>30</v>
      </c>
      <c r="AS1207" s="247">
        <v>34.9</v>
      </c>
      <c r="AT1207" s="247">
        <v>45</v>
      </c>
      <c r="AU1207" s="247">
        <v>12.7</v>
      </c>
      <c r="AV1207" s="247">
        <v>45</v>
      </c>
      <c r="AW1207" s="247">
        <v>31</v>
      </c>
      <c r="AX1207" s="247">
        <v>62</v>
      </c>
      <c r="AY1207" s="247">
        <v>68</v>
      </c>
      <c r="AZ1207" s="247" t="s">
        <v>959</v>
      </c>
      <c r="BA1207" s="248">
        <v>2.6</v>
      </c>
      <c r="BB1207" s="235"/>
      <c r="BC1207" s="247" t="s">
        <v>2531</v>
      </c>
      <c r="BD1207" s="247"/>
      <c r="BE1207" s="247"/>
      <c r="BF1207" s="247"/>
      <c r="BG1207" s="247"/>
      <c r="BH1207" s="247"/>
      <c r="BI1207" s="247"/>
      <c r="BJ1207" s="247"/>
      <c r="BK1207" s="247"/>
      <c r="BL1207" s="247"/>
      <c r="BM1207" s="247"/>
      <c r="BN1207" s="247"/>
      <c r="BO1207" s="247"/>
      <c r="BP1207" s="248"/>
    </row>
    <row r="1208" spans="1:68" ht="14.25" customHeight="1">
      <c r="A1208" s="233">
        <v>551</v>
      </c>
      <c r="B1208" s="234">
        <v>191</v>
      </c>
      <c r="C1208" s="244" t="s">
        <v>928</v>
      </c>
      <c r="D1208" s="244" t="s">
        <v>935</v>
      </c>
      <c r="E1208" s="244" t="s">
        <v>2533</v>
      </c>
      <c r="F1208" s="245">
        <v>-27.2</v>
      </c>
      <c r="G1208" s="245">
        <v>-23.8</v>
      </c>
      <c r="H1208" s="245">
        <v>-16.899999999999999</v>
      </c>
      <c r="I1208" s="245">
        <v>-8.6</v>
      </c>
      <c r="J1208" s="245">
        <v>-0.3</v>
      </c>
      <c r="K1208" s="245">
        <v>9.5</v>
      </c>
      <c r="L1208" s="245">
        <v>16</v>
      </c>
      <c r="M1208" s="245">
        <v>12.5</v>
      </c>
      <c r="N1208" s="245">
        <v>5.6</v>
      </c>
      <c r="O1208" s="245">
        <v>-5.7</v>
      </c>
      <c r="P1208" s="245">
        <v>-19.8</v>
      </c>
      <c r="Q1208" s="245">
        <v>-26</v>
      </c>
      <c r="R1208" s="246">
        <v>-7.1</v>
      </c>
      <c r="S1208" s="233">
        <v>191</v>
      </c>
      <c r="T1208" s="247" t="s">
        <v>2534</v>
      </c>
      <c r="U1208" s="245">
        <v>-59</v>
      </c>
      <c r="V1208" s="245">
        <v>-56</v>
      </c>
      <c r="W1208" s="245">
        <v>-54</v>
      </c>
      <c r="X1208" s="245">
        <v>-50</v>
      </c>
      <c r="Y1208" s="245">
        <v>-32</v>
      </c>
      <c r="Z1208" s="245">
        <v>-61</v>
      </c>
      <c r="AA1208" s="245">
        <v>9</v>
      </c>
      <c r="AB1208" s="245">
        <v>228</v>
      </c>
      <c r="AC1208" s="245">
        <v>-16.600000000000001</v>
      </c>
      <c r="AD1208" s="245">
        <v>279</v>
      </c>
      <c r="AE1208" s="245">
        <v>-12.9</v>
      </c>
      <c r="AF1208" s="245">
        <v>295</v>
      </c>
      <c r="AG1208" s="245">
        <v>-11.7</v>
      </c>
      <c r="AH1208" s="245">
        <v>78</v>
      </c>
      <c r="AI1208" s="245">
        <v>74</v>
      </c>
      <c r="AJ1208" s="245">
        <v>149</v>
      </c>
      <c r="AK1208" s="245" t="s">
        <v>982</v>
      </c>
      <c r="AL1208" s="245">
        <v>5.7</v>
      </c>
      <c r="AM1208" s="246">
        <v>3.9</v>
      </c>
      <c r="AN1208" s="235">
        <v>191</v>
      </c>
      <c r="AO1208" s="247" t="s">
        <v>2535</v>
      </c>
      <c r="AP1208" s="247">
        <v>1005</v>
      </c>
      <c r="AQ1208" s="247">
        <v>18.3</v>
      </c>
      <c r="AR1208" s="247">
        <v>23.5</v>
      </c>
      <c r="AS1208" s="247">
        <v>21.4</v>
      </c>
      <c r="AT1208" s="247">
        <v>36</v>
      </c>
      <c r="AU1208" s="247">
        <v>10.5</v>
      </c>
      <c r="AV1208" s="247">
        <v>69</v>
      </c>
      <c r="AW1208" s="247">
        <v>57</v>
      </c>
      <c r="AX1208" s="247">
        <v>376</v>
      </c>
      <c r="AY1208" s="247">
        <v>61</v>
      </c>
      <c r="AZ1208" s="247" t="s">
        <v>959</v>
      </c>
      <c r="BA1208" s="248">
        <v>4</v>
      </c>
      <c r="BB1208" s="235">
        <v>169</v>
      </c>
      <c r="BC1208" s="247" t="s">
        <v>2533</v>
      </c>
      <c r="BD1208" s="247">
        <v>0.8</v>
      </c>
      <c r="BE1208" s="247">
        <v>0.9</v>
      </c>
      <c r="BF1208" s="247">
        <v>1.6</v>
      </c>
      <c r="BG1208" s="247">
        <v>2.7</v>
      </c>
      <c r="BH1208" s="247">
        <v>4.3</v>
      </c>
      <c r="BI1208" s="247">
        <v>8.1999999999999993</v>
      </c>
      <c r="BJ1208" s="247">
        <v>12.7</v>
      </c>
      <c r="BK1208" s="247">
        <v>11.2</v>
      </c>
      <c r="BL1208" s="247">
        <v>7.7</v>
      </c>
      <c r="BM1208" s="247">
        <v>3.9</v>
      </c>
      <c r="BN1208" s="247">
        <v>1.5</v>
      </c>
      <c r="BO1208" s="247">
        <v>1</v>
      </c>
      <c r="BP1208" s="248">
        <v>4.7</v>
      </c>
    </row>
    <row r="1209" spans="1:68" ht="14.25" customHeight="1">
      <c r="A1209" s="233">
        <v>552</v>
      </c>
      <c r="B1209" s="234">
        <v>31</v>
      </c>
      <c r="C1209" s="244" t="s">
        <v>928</v>
      </c>
      <c r="D1209" s="244" t="s">
        <v>1046</v>
      </c>
      <c r="E1209" s="244" t="s">
        <v>2536</v>
      </c>
      <c r="F1209" s="245">
        <v>-26.4</v>
      </c>
      <c r="G1209" s="245">
        <v>-21.6</v>
      </c>
      <c r="H1209" s="245">
        <v>-13.4</v>
      </c>
      <c r="I1209" s="245">
        <v>-1.5</v>
      </c>
      <c r="J1209" s="245">
        <v>7.5</v>
      </c>
      <c r="K1209" s="245">
        <v>14.6</v>
      </c>
      <c r="L1209" s="245">
        <v>18.100000000000001</v>
      </c>
      <c r="M1209" s="245">
        <v>15.1</v>
      </c>
      <c r="N1209" s="245">
        <v>7.9</v>
      </c>
      <c r="O1209" s="245">
        <v>-3.4</v>
      </c>
      <c r="P1209" s="245">
        <v>-17.2</v>
      </c>
      <c r="Q1209" s="245">
        <v>-25.2</v>
      </c>
      <c r="R1209" s="246">
        <v>-3.8</v>
      </c>
      <c r="S1209" s="233">
        <v>31</v>
      </c>
      <c r="T1209" s="247" t="s">
        <v>2537</v>
      </c>
      <c r="U1209" s="245">
        <v>-43</v>
      </c>
      <c r="V1209" s="245">
        <v>-41</v>
      </c>
      <c r="W1209" s="245">
        <v>-38</v>
      </c>
      <c r="X1209" s="245">
        <v>-37</v>
      </c>
      <c r="Y1209" s="245">
        <v>-31</v>
      </c>
      <c r="Z1209" s="245">
        <v>-50</v>
      </c>
      <c r="AA1209" s="245">
        <v>12.8</v>
      </c>
      <c r="AB1209" s="245">
        <v>196</v>
      </c>
      <c r="AC1209" s="245">
        <v>-16.5</v>
      </c>
      <c r="AD1209" s="245">
        <v>245</v>
      </c>
      <c r="AE1209" s="245">
        <v>-12.4</v>
      </c>
      <c r="AF1209" s="245">
        <v>262</v>
      </c>
      <c r="AG1209" s="245">
        <v>-11</v>
      </c>
      <c r="AH1209" s="245">
        <v>69</v>
      </c>
      <c r="AI1209" s="245">
        <v>61</v>
      </c>
      <c r="AJ1209" s="245">
        <v>52</v>
      </c>
      <c r="AK1209" s="245" t="s">
        <v>944</v>
      </c>
      <c r="AL1209" s="245">
        <v>5.2</v>
      </c>
      <c r="AM1209" s="246">
        <v>2.6</v>
      </c>
      <c r="AN1209" s="235">
        <v>31</v>
      </c>
      <c r="AO1209" s="247" t="s">
        <v>2538</v>
      </c>
      <c r="AP1209" s="247">
        <v>965</v>
      </c>
      <c r="AQ1209" s="247">
        <v>23</v>
      </c>
      <c r="AR1209" s="247">
        <v>27.1</v>
      </c>
      <c r="AS1209" s="247">
        <v>25.4</v>
      </c>
      <c r="AT1209" s="247">
        <v>38</v>
      </c>
      <c r="AU1209" s="247">
        <v>15.1</v>
      </c>
      <c r="AV1209" s="247">
        <v>77</v>
      </c>
      <c r="AW1209" s="247">
        <v>58</v>
      </c>
      <c r="AX1209" s="247">
        <v>524</v>
      </c>
      <c r="AY1209" s="247" t="s">
        <v>965</v>
      </c>
      <c r="AZ1209" s="247" t="s">
        <v>959</v>
      </c>
      <c r="BA1209" s="248">
        <v>0</v>
      </c>
      <c r="BB1209" s="235">
        <v>18</v>
      </c>
      <c r="BC1209" s="247" t="s">
        <v>2536</v>
      </c>
      <c r="BD1209" s="247">
        <v>0.6</v>
      </c>
      <c r="BE1209" s="247">
        <v>0.8</v>
      </c>
      <c r="BF1209" s="247">
        <v>1.5</v>
      </c>
      <c r="BG1209" s="247">
        <v>3.1</v>
      </c>
      <c r="BH1209" s="247">
        <v>5.7</v>
      </c>
      <c r="BI1209" s="247">
        <v>11.6</v>
      </c>
      <c r="BJ1209" s="247">
        <v>16.100000000000001</v>
      </c>
      <c r="BK1209" s="247">
        <v>14.2</v>
      </c>
      <c r="BL1209" s="247">
        <v>8.1</v>
      </c>
      <c r="BM1209" s="247">
        <v>3.5</v>
      </c>
      <c r="BN1209" s="247">
        <v>1.3</v>
      </c>
      <c r="BO1209" s="247">
        <v>0.7</v>
      </c>
      <c r="BP1209" s="248">
        <v>5.6</v>
      </c>
    </row>
    <row r="1210" spans="1:68" ht="14.25" customHeight="1">
      <c r="A1210" s="233">
        <v>553</v>
      </c>
      <c r="B1210" s="234">
        <v>32</v>
      </c>
      <c r="C1210" s="244" t="s">
        <v>928</v>
      </c>
      <c r="D1210" s="244" t="s">
        <v>1046</v>
      </c>
      <c r="E1210" s="244" t="s">
        <v>238</v>
      </c>
      <c r="F1210" s="245">
        <v>-31.7</v>
      </c>
      <c r="G1210" s="245">
        <v>-25.9</v>
      </c>
      <c r="H1210" s="245">
        <v>-16.2</v>
      </c>
      <c r="I1210" s="245">
        <v>-3.8</v>
      </c>
      <c r="J1210" s="245">
        <v>6</v>
      </c>
      <c r="K1210" s="245">
        <v>13.4</v>
      </c>
      <c r="L1210" s="245">
        <v>17.100000000000001</v>
      </c>
      <c r="M1210" s="245">
        <v>13.9</v>
      </c>
      <c r="N1210" s="245">
        <v>6.3</v>
      </c>
      <c r="O1210" s="245">
        <v>-5.7</v>
      </c>
      <c r="P1210" s="245">
        <v>-21.5</v>
      </c>
      <c r="Q1210" s="245">
        <v>-30.2</v>
      </c>
      <c r="R1210" s="246">
        <v>-6.5</v>
      </c>
      <c r="S1210" s="233">
        <v>32</v>
      </c>
      <c r="T1210" s="247" t="s">
        <v>2539</v>
      </c>
      <c r="U1210" s="245">
        <v>-48</v>
      </c>
      <c r="V1210" s="245">
        <v>-46</v>
      </c>
      <c r="W1210" s="245">
        <v>-44</v>
      </c>
      <c r="X1210" s="245">
        <v>-42</v>
      </c>
      <c r="Y1210" s="245">
        <v>-37</v>
      </c>
      <c r="Z1210" s="245">
        <v>-54</v>
      </c>
      <c r="AA1210" s="245">
        <v>12.5</v>
      </c>
      <c r="AB1210" s="245">
        <v>208</v>
      </c>
      <c r="AC1210" s="245">
        <v>-19.2</v>
      </c>
      <c r="AD1210" s="245">
        <v>258</v>
      </c>
      <c r="AE1210" s="245">
        <v>-14.7</v>
      </c>
      <c r="AF1210" s="245">
        <v>274</v>
      </c>
      <c r="AG1210" s="245">
        <v>-13.3</v>
      </c>
      <c r="AH1210" s="245">
        <v>75</v>
      </c>
      <c r="AI1210" s="245">
        <v>71</v>
      </c>
      <c r="AJ1210" s="245">
        <v>62</v>
      </c>
      <c r="AK1210" s="245" t="s">
        <v>950</v>
      </c>
      <c r="AL1210" s="245">
        <v>5.3</v>
      </c>
      <c r="AM1210" s="246">
        <v>2.9</v>
      </c>
      <c r="AN1210" s="235">
        <v>32</v>
      </c>
      <c r="AO1210" s="247" t="s">
        <v>2540</v>
      </c>
      <c r="AP1210" s="247">
        <v>950</v>
      </c>
      <c r="AQ1210" s="247">
        <v>22.5</v>
      </c>
      <c r="AR1210" s="247">
        <v>26.6</v>
      </c>
      <c r="AS1210" s="247">
        <v>24.9</v>
      </c>
      <c r="AT1210" s="247">
        <v>36</v>
      </c>
      <c r="AU1210" s="247">
        <v>14.9</v>
      </c>
      <c r="AV1210" s="247">
        <v>76</v>
      </c>
      <c r="AW1210" s="247">
        <v>56</v>
      </c>
      <c r="AX1210" s="247">
        <v>518</v>
      </c>
      <c r="AY1210" s="247">
        <v>69</v>
      </c>
      <c r="AZ1210" s="247" t="s">
        <v>952</v>
      </c>
      <c r="BA1210" s="248">
        <v>0</v>
      </c>
      <c r="BB1210" s="235">
        <v>19</v>
      </c>
      <c r="BC1210" s="247" t="s">
        <v>238</v>
      </c>
      <c r="BD1210" s="247">
        <v>0.4</v>
      </c>
      <c r="BE1210" s="247">
        <v>0.6</v>
      </c>
      <c r="BF1210" s="247">
        <v>1.3</v>
      </c>
      <c r="BG1210" s="247">
        <v>2.9</v>
      </c>
      <c r="BH1210" s="247">
        <v>5.5</v>
      </c>
      <c r="BI1210" s="247">
        <v>10.4</v>
      </c>
      <c r="BJ1210" s="247">
        <v>14.6</v>
      </c>
      <c r="BK1210" s="247">
        <v>12.8</v>
      </c>
      <c r="BL1210" s="247">
        <v>7.4</v>
      </c>
      <c r="BM1210" s="247">
        <v>3.2</v>
      </c>
      <c r="BN1210" s="247">
        <v>1</v>
      </c>
      <c r="BO1210" s="247">
        <v>0.5</v>
      </c>
      <c r="BP1210" s="248">
        <v>5.0999999999999996</v>
      </c>
    </row>
    <row r="1211" spans="1:68" ht="14.25" customHeight="1">
      <c r="A1211" s="233">
        <v>554</v>
      </c>
      <c r="B1211" s="234">
        <v>336</v>
      </c>
      <c r="C1211" s="244" t="s">
        <v>928</v>
      </c>
      <c r="D1211" s="244" t="s">
        <v>1161</v>
      </c>
      <c r="E1211" s="244" t="s">
        <v>239</v>
      </c>
      <c r="F1211" s="245">
        <v>-17.399999999999999</v>
      </c>
      <c r="G1211" s="245">
        <v>-16.100000000000001</v>
      </c>
      <c r="H1211" s="245">
        <v>-7.7</v>
      </c>
      <c r="I1211" s="245">
        <v>3.2</v>
      </c>
      <c r="J1211" s="245">
        <v>11</v>
      </c>
      <c r="K1211" s="245">
        <v>15.7</v>
      </c>
      <c r="L1211" s="245">
        <v>18.2</v>
      </c>
      <c r="M1211" s="245">
        <v>14.8</v>
      </c>
      <c r="N1211" s="245">
        <v>9.6999999999999993</v>
      </c>
      <c r="O1211" s="245">
        <v>1</v>
      </c>
      <c r="P1211" s="245">
        <v>-7.9</v>
      </c>
      <c r="Q1211" s="245">
        <v>-13.7</v>
      </c>
      <c r="R1211" s="246">
        <v>0.9</v>
      </c>
      <c r="S1211" s="233">
        <v>336</v>
      </c>
      <c r="T1211" s="247" t="s">
        <v>2541</v>
      </c>
      <c r="U1211" s="245">
        <v>-45</v>
      </c>
      <c r="V1211" s="245">
        <v>-42</v>
      </c>
      <c r="W1211" s="245">
        <v>-42</v>
      </c>
      <c r="X1211" s="245">
        <v>-38</v>
      </c>
      <c r="Y1211" s="245">
        <v>-22</v>
      </c>
      <c r="Z1211" s="245">
        <v>-50</v>
      </c>
      <c r="AA1211" s="245">
        <v>9.1999999999999993</v>
      </c>
      <c r="AB1211" s="245">
        <v>169</v>
      </c>
      <c r="AC1211" s="245">
        <v>-10.9</v>
      </c>
      <c r="AD1211" s="245">
        <v>225</v>
      </c>
      <c r="AE1211" s="245">
        <v>-7.2</v>
      </c>
      <c r="AF1211" s="245">
        <v>240</v>
      </c>
      <c r="AG1211" s="245">
        <v>-6.1</v>
      </c>
      <c r="AH1211" s="245">
        <v>81</v>
      </c>
      <c r="AI1211" s="245">
        <v>78</v>
      </c>
      <c r="AJ1211" s="245">
        <v>107</v>
      </c>
      <c r="AK1211" s="245" t="s">
        <v>971</v>
      </c>
      <c r="AL1211" s="245">
        <v>3.9</v>
      </c>
      <c r="AM1211" s="246">
        <v>3.6</v>
      </c>
      <c r="AN1211" s="235">
        <v>336</v>
      </c>
      <c r="AO1211" s="247" t="s">
        <v>2542</v>
      </c>
      <c r="AP1211" s="247">
        <v>1000</v>
      </c>
      <c r="AQ1211" s="247">
        <v>21.6</v>
      </c>
      <c r="AR1211" s="247">
        <v>25.8</v>
      </c>
      <c r="AS1211" s="247">
        <v>24</v>
      </c>
      <c r="AT1211" s="247">
        <v>38</v>
      </c>
      <c r="AU1211" s="247">
        <v>11.3</v>
      </c>
      <c r="AV1211" s="247">
        <v>74</v>
      </c>
      <c r="AW1211" s="247">
        <v>58</v>
      </c>
      <c r="AX1211" s="247">
        <v>342</v>
      </c>
      <c r="AY1211" s="247">
        <v>111</v>
      </c>
      <c r="AZ1211" s="247" t="s">
        <v>959</v>
      </c>
      <c r="BA1211" s="248">
        <v>0</v>
      </c>
      <c r="BB1211" s="235">
        <v>304</v>
      </c>
      <c r="BC1211" s="247" t="s">
        <v>239</v>
      </c>
      <c r="BD1211" s="247">
        <v>1.5</v>
      </c>
      <c r="BE1211" s="247">
        <v>1.6</v>
      </c>
      <c r="BF1211" s="247">
        <v>2.7</v>
      </c>
      <c r="BG1211" s="247">
        <v>5</v>
      </c>
      <c r="BH1211" s="247">
        <v>7.4</v>
      </c>
      <c r="BI1211" s="247">
        <v>11.6</v>
      </c>
      <c r="BJ1211" s="247">
        <v>15</v>
      </c>
      <c r="BK1211" s="247">
        <v>13</v>
      </c>
      <c r="BL1211" s="247">
        <v>9.1999999999999993</v>
      </c>
      <c r="BM1211" s="247">
        <v>5.3</v>
      </c>
      <c r="BN1211" s="247">
        <v>3.3</v>
      </c>
      <c r="BO1211" s="247">
        <v>2.1</v>
      </c>
      <c r="BP1211" s="248">
        <v>6.5</v>
      </c>
    </row>
    <row r="1212" spans="1:68" ht="14.25" customHeight="1">
      <c r="A1212" s="233">
        <v>555</v>
      </c>
      <c r="B1212" s="234">
        <v>441</v>
      </c>
      <c r="C1212" s="244" t="s">
        <v>928</v>
      </c>
      <c r="D1212" s="244" t="s">
        <v>969</v>
      </c>
      <c r="E1212" s="244" t="s">
        <v>2543</v>
      </c>
      <c r="F1212" s="245">
        <v>-33.1</v>
      </c>
      <c r="G1212" s="245">
        <v>-29.9</v>
      </c>
      <c r="H1212" s="245">
        <v>-18.2</v>
      </c>
      <c r="I1212" s="245">
        <v>-4.5</v>
      </c>
      <c r="J1212" s="245">
        <v>5.7</v>
      </c>
      <c r="K1212" s="245">
        <v>13.6</v>
      </c>
      <c r="L1212" s="245">
        <v>17</v>
      </c>
      <c r="M1212" s="245">
        <v>13.2</v>
      </c>
      <c r="N1212" s="245">
        <v>5.0999999999999996</v>
      </c>
      <c r="O1212" s="245">
        <v>-5.9</v>
      </c>
      <c r="P1212" s="245">
        <v>-22.6</v>
      </c>
      <c r="Q1212" s="245">
        <v>-32.200000000000003</v>
      </c>
      <c r="R1212" s="246">
        <v>-7.7</v>
      </c>
      <c r="S1212" s="233">
        <v>441</v>
      </c>
      <c r="T1212" s="247" t="s">
        <v>2543</v>
      </c>
      <c r="U1212" s="245">
        <v>-55</v>
      </c>
      <c r="V1212" s="245">
        <v>-53</v>
      </c>
      <c r="W1212" s="245">
        <v>-52</v>
      </c>
      <c r="X1212" s="245">
        <v>-50</v>
      </c>
      <c r="Y1212" s="245">
        <v>-38</v>
      </c>
      <c r="Z1212" s="245">
        <v>-57</v>
      </c>
      <c r="AA1212" s="245">
        <v>11.9</v>
      </c>
      <c r="AB1212" s="245">
        <v>211</v>
      </c>
      <c r="AC1212" s="245">
        <v>-20.5</v>
      </c>
      <c r="AD1212" s="245">
        <v>262</v>
      </c>
      <c r="AE1212" s="245">
        <v>-15.7</v>
      </c>
      <c r="AF1212" s="245">
        <v>278</v>
      </c>
      <c r="AG1212" s="245">
        <v>-14.4</v>
      </c>
      <c r="AH1212" s="245">
        <v>78</v>
      </c>
      <c r="AI1212" s="245">
        <v>77</v>
      </c>
      <c r="AJ1212" s="245">
        <v>89</v>
      </c>
      <c r="AK1212" s="245" t="s">
        <v>944</v>
      </c>
      <c r="AL1212" s="245" t="s">
        <v>931</v>
      </c>
      <c r="AM1212" s="246">
        <v>0.8</v>
      </c>
      <c r="AN1212" s="235">
        <v>441</v>
      </c>
      <c r="AO1212" s="247" t="s">
        <v>2544</v>
      </c>
      <c r="AP1212" s="247">
        <v>985</v>
      </c>
      <c r="AQ1212" s="247">
        <v>23.8</v>
      </c>
      <c r="AR1212" s="247">
        <v>27.9</v>
      </c>
      <c r="AS1212" s="247">
        <v>26.2</v>
      </c>
      <c r="AT1212" s="247">
        <v>38</v>
      </c>
      <c r="AU1212" s="247">
        <v>17.899999999999999</v>
      </c>
      <c r="AV1212" s="247">
        <v>74</v>
      </c>
      <c r="AW1212" s="247">
        <v>51</v>
      </c>
      <c r="AX1212" s="247">
        <v>289</v>
      </c>
      <c r="AY1212" s="247">
        <v>57</v>
      </c>
      <c r="AZ1212" s="247" t="s">
        <v>959</v>
      </c>
      <c r="BA1212" s="248" t="s">
        <v>934</v>
      </c>
      <c r="BB1212" s="235">
        <v>403</v>
      </c>
      <c r="BC1212" s="247" t="s">
        <v>2543</v>
      </c>
      <c r="BD1212" s="247">
        <v>0.5</v>
      </c>
      <c r="BE1212" s="247">
        <v>0.6</v>
      </c>
      <c r="BF1212" s="247">
        <v>1.2</v>
      </c>
      <c r="BG1212" s="247">
        <v>2.8</v>
      </c>
      <c r="BH1212" s="247">
        <v>5.3</v>
      </c>
      <c r="BI1212" s="247">
        <v>10.1</v>
      </c>
      <c r="BJ1212" s="247">
        <v>13.9</v>
      </c>
      <c r="BK1212" s="247">
        <v>12</v>
      </c>
      <c r="BL1212" s="247">
        <v>7.1</v>
      </c>
      <c r="BM1212" s="247">
        <v>3.4</v>
      </c>
      <c r="BN1212" s="247">
        <v>1</v>
      </c>
      <c r="BO1212" s="247">
        <v>0.5</v>
      </c>
      <c r="BP1212" s="248">
        <v>4.9000000000000004</v>
      </c>
    </row>
    <row r="1213" spans="1:68" ht="14.25" customHeight="1">
      <c r="A1213" s="233">
        <v>556</v>
      </c>
      <c r="B1213" s="234">
        <v>61</v>
      </c>
      <c r="C1213" s="244" t="s">
        <v>928</v>
      </c>
      <c r="D1213" s="244" t="s">
        <v>1089</v>
      </c>
      <c r="E1213" s="244" t="s">
        <v>2545</v>
      </c>
      <c r="F1213" s="245">
        <v>-28.3</v>
      </c>
      <c r="G1213" s="245">
        <v>-24.5</v>
      </c>
      <c r="H1213" s="245">
        <v>-15.7</v>
      </c>
      <c r="I1213" s="245">
        <v>-5.2</v>
      </c>
      <c r="J1213" s="245">
        <v>3.5</v>
      </c>
      <c r="K1213" s="245">
        <v>11.6</v>
      </c>
      <c r="L1213" s="245">
        <v>14.8</v>
      </c>
      <c r="M1213" s="245">
        <v>11.8</v>
      </c>
      <c r="N1213" s="245">
        <v>4.7</v>
      </c>
      <c r="O1213" s="245">
        <v>-6</v>
      </c>
      <c r="P1213" s="245">
        <v>-18.7</v>
      </c>
      <c r="Q1213" s="245">
        <v>-26.5</v>
      </c>
      <c r="R1213" s="246">
        <v>-6.5</v>
      </c>
      <c r="S1213" s="233">
        <v>61</v>
      </c>
      <c r="T1213" s="247" t="s">
        <v>2546</v>
      </c>
      <c r="U1213" s="245">
        <v>-43</v>
      </c>
      <c r="V1213" s="245">
        <v>-42</v>
      </c>
      <c r="W1213" s="245">
        <v>-42</v>
      </c>
      <c r="X1213" s="245">
        <v>-40</v>
      </c>
      <c r="Y1213" s="245">
        <v>-33</v>
      </c>
      <c r="Z1213" s="245">
        <v>-48</v>
      </c>
      <c r="AA1213" s="245">
        <v>10.4</v>
      </c>
      <c r="AB1213" s="245">
        <v>217</v>
      </c>
      <c r="AC1213" s="245">
        <v>-17.100000000000001</v>
      </c>
      <c r="AD1213" s="245">
        <v>274</v>
      </c>
      <c r="AE1213" s="245">
        <v>-12.7</v>
      </c>
      <c r="AF1213" s="245">
        <v>290</v>
      </c>
      <c r="AG1213" s="245">
        <v>-11.4</v>
      </c>
      <c r="AH1213" s="245">
        <v>74</v>
      </c>
      <c r="AI1213" s="245">
        <v>70</v>
      </c>
      <c r="AJ1213" s="245">
        <v>26</v>
      </c>
      <c r="AK1213" s="245" t="s">
        <v>944</v>
      </c>
      <c r="AL1213" s="245" t="s">
        <v>931</v>
      </c>
      <c r="AM1213" s="246" t="s">
        <v>931</v>
      </c>
      <c r="AN1213" s="235">
        <v>61</v>
      </c>
      <c r="AO1213" s="247" t="s">
        <v>2547</v>
      </c>
      <c r="AP1213" s="247">
        <v>890</v>
      </c>
      <c r="AQ1213" s="247">
        <v>18.8</v>
      </c>
      <c r="AR1213" s="247">
        <v>23.1</v>
      </c>
      <c r="AS1213" s="247">
        <v>21.2</v>
      </c>
      <c r="AT1213" s="247">
        <v>30</v>
      </c>
      <c r="AU1213" s="247">
        <v>13</v>
      </c>
      <c r="AV1213" s="247">
        <v>70</v>
      </c>
      <c r="AW1213" s="247">
        <v>52</v>
      </c>
      <c r="AX1213" s="247">
        <v>362</v>
      </c>
      <c r="AY1213" s="247" t="s">
        <v>965</v>
      </c>
      <c r="AZ1213" s="247" t="s">
        <v>959</v>
      </c>
      <c r="BA1213" s="248" t="s">
        <v>934</v>
      </c>
      <c r="BB1213" s="235">
        <v>47</v>
      </c>
      <c r="BC1213" s="247" t="s">
        <v>2545</v>
      </c>
      <c r="BD1213" s="247">
        <v>0.5</v>
      </c>
      <c r="BE1213" s="247">
        <v>0.6</v>
      </c>
      <c r="BF1213" s="247">
        <v>1.2</v>
      </c>
      <c r="BG1213" s="247">
        <v>2.2999999999999998</v>
      </c>
      <c r="BH1213" s="247">
        <v>4</v>
      </c>
      <c r="BI1213" s="247">
        <v>8.1</v>
      </c>
      <c r="BJ1213" s="247">
        <v>11.7</v>
      </c>
      <c r="BK1213" s="247">
        <v>10.199999999999999</v>
      </c>
      <c r="BL1213" s="247">
        <v>5.6</v>
      </c>
      <c r="BM1213" s="247">
        <v>2.8</v>
      </c>
      <c r="BN1213" s="247">
        <v>1.1000000000000001</v>
      </c>
      <c r="BO1213" s="247">
        <v>0.6</v>
      </c>
      <c r="BP1213" s="248">
        <v>4.0999999999999996</v>
      </c>
    </row>
    <row r="1214" spans="1:68" ht="14.25" customHeight="1">
      <c r="A1214" s="233">
        <v>557</v>
      </c>
      <c r="B1214" s="234">
        <v>337</v>
      </c>
      <c r="C1214" s="244" t="s">
        <v>928</v>
      </c>
      <c r="D1214" s="244" t="s">
        <v>1161</v>
      </c>
      <c r="E1214" s="244" t="s">
        <v>2548</v>
      </c>
      <c r="F1214" s="245">
        <v>-21</v>
      </c>
      <c r="G1214" s="245">
        <v>-19.399999999999999</v>
      </c>
      <c r="H1214" s="245">
        <v>-10.9</v>
      </c>
      <c r="I1214" s="245">
        <v>-1.1000000000000001</v>
      </c>
      <c r="J1214" s="245">
        <v>6</v>
      </c>
      <c r="K1214" s="245">
        <v>13.4</v>
      </c>
      <c r="L1214" s="245">
        <v>17.399999999999999</v>
      </c>
      <c r="M1214" s="245">
        <v>13.6</v>
      </c>
      <c r="N1214" s="245">
        <v>7.9</v>
      </c>
      <c r="O1214" s="245">
        <v>-1.4</v>
      </c>
      <c r="P1214" s="245">
        <v>-12.6</v>
      </c>
      <c r="Q1214" s="245">
        <v>-18.8</v>
      </c>
      <c r="R1214" s="246">
        <v>-2.2000000000000002</v>
      </c>
      <c r="S1214" s="233">
        <v>337</v>
      </c>
      <c r="T1214" s="247" t="s">
        <v>2549</v>
      </c>
      <c r="U1214" s="245">
        <v>-49</v>
      </c>
      <c r="V1214" s="245">
        <v>-46</v>
      </c>
      <c r="W1214" s="245">
        <v>-45</v>
      </c>
      <c r="X1214" s="245">
        <v>-42</v>
      </c>
      <c r="Y1214" s="245">
        <v>-26</v>
      </c>
      <c r="Z1214" s="245">
        <v>-54</v>
      </c>
      <c r="AA1214" s="245">
        <v>9.4</v>
      </c>
      <c r="AB1214" s="245">
        <v>191</v>
      </c>
      <c r="AC1214" s="245">
        <v>-13.3</v>
      </c>
      <c r="AD1214" s="245">
        <v>251</v>
      </c>
      <c r="AE1214" s="245">
        <v>-9.1</v>
      </c>
      <c r="AF1214" s="245">
        <v>270</v>
      </c>
      <c r="AG1214" s="245">
        <v>-7.9</v>
      </c>
      <c r="AH1214" s="245">
        <v>82</v>
      </c>
      <c r="AI1214" s="245">
        <v>80</v>
      </c>
      <c r="AJ1214" s="245">
        <v>123</v>
      </c>
      <c r="AK1214" s="245" t="s">
        <v>971</v>
      </c>
      <c r="AL1214" s="245">
        <v>4.4000000000000004</v>
      </c>
      <c r="AM1214" s="246" t="s">
        <v>931</v>
      </c>
      <c r="AN1214" s="235">
        <v>337</v>
      </c>
      <c r="AO1214" s="247" t="s">
        <v>2550</v>
      </c>
      <c r="AP1214" s="247">
        <v>1005</v>
      </c>
      <c r="AQ1214" s="247">
        <v>20.9</v>
      </c>
      <c r="AR1214" s="247">
        <v>25.1</v>
      </c>
      <c r="AS1214" s="247">
        <v>23.3</v>
      </c>
      <c r="AT1214" s="247">
        <v>36</v>
      </c>
      <c r="AU1214" s="247">
        <v>11.6</v>
      </c>
      <c r="AV1214" s="247">
        <v>72</v>
      </c>
      <c r="AW1214" s="247">
        <v>57</v>
      </c>
      <c r="AX1214" s="247">
        <v>460</v>
      </c>
      <c r="AY1214" s="247" t="s">
        <v>965</v>
      </c>
      <c r="AZ1214" s="247" t="s">
        <v>1005</v>
      </c>
      <c r="BA1214" s="248">
        <v>0</v>
      </c>
      <c r="BB1214" s="235">
        <v>305</v>
      </c>
      <c r="BC1214" s="247" t="s">
        <v>2548</v>
      </c>
      <c r="BD1214" s="247">
        <v>1.3</v>
      </c>
      <c r="BE1214" s="247">
        <v>1.3</v>
      </c>
      <c r="BF1214" s="247">
        <v>2.2000000000000002</v>
      </c>
      <c r="BG1214" s="247">
        <v>4</v>
      </c>
      <c r="BH1214" s="247">
        <v>6.1</v>
      </c>
      <c r="BI1214" s="247">
        <v>10.3</v>
      </c>
      <c r="BJ1214" s="247">
        <v>14</v>
      </c>
      <c r="BK1214" s="247">
        <v>12.4</v>
      </c>
      <c r="BL1214" s="247">
        <v>8.8000000000000007</v>
      </c>
      <c r="BM1214" s="247">
        <v>4.9000000000000004</v>
      </c>
      <c r="BN1214" s="247">
        <v>2.5</v>
      </c>
      <c r="BO1214" s="247">
        <v>1.6</v>
      </c>
      <c r="BP1214" s="248">
        <v>5.8</v>
      </c>
    </row>
    <row r="1215" spans="1:68" ht="14.25" customHeight="1">
      <c r="A1215" s="233">
        <v>558</v>
      </c>
      <c r="B1215" s="234">
        <v>616</v>
      </c>
      <c r="C1215" s="244" t="s">
        <v>953</v>
      </c>
      <c r="D1215" s="244" t="s">
        <v>2551</v>
      </c>
      <c r="E1215" s="244" t="s">
        <v>2552</v>
      </c>
      <c r="F1215" s="245">
        <v>-2.8</v>
      </c>
      <c r="G1215" s="245">
        <v>-0.2</v>
      </c>
      <c r="H1215" s="245">
        <v>4.7</v>
      </c>
      <c r="I1215" s="245">
        <v>10.7</v>
      </c>
      <c r="J1215" s="245">
        <v>15.6</v>
      </c>
      <c r="K1215" s="245">
        <v>18.5</v>
      </c>
      <c r="L1215" s="245">
        <v>19.899999999999999</v>
      </c>
      <c r="M1215" s="245">
        <v>19.399999999999999</v>
      </c>
      <c r="N1215" s="245">
        <v>15.5</v>
      </c>
      <c r="O1215" s="245">
        <v>10</v>
      </c>
      <c r="P1215" s="245">
        <v>4.9000000000000004</v>
      </c>
      <c r="Q1215" s="245">
        <v>-0.4</v>
      </c>
      <c r="R1215" s="246">
        <v>9.6999999999999993</v>
      </c>
      <c r="S1215" s="233">
        <v>605</v>
      </c>
      <c r="T1215" s="247" t="s">
        <v>2552</v>
      </c>
      <c r="U1215" s="245">
        <v>-25</v>
      </c>
      <c r="V1215" s="245">
        <v>-23</v>
      </c>
      <c r="W1215" s="245">
        <v>-21</v>
      </c>
      <c r="X1215" s="245">
        <v>-18</v>
      </c>
      <c r="Y1215" s="245">
        <v>-7</v>
      </c>
      <c r="Z1215" s="245">
        <v>-32</v>
      </c>
      <c r="AA1215" s="245" t="s">
        <v>956</v>
      </c>
      <c r="AB1215" s="245">
        <v>63</v>
      </c>
      <c r="AC1215" s="245">
        <v>2</v>
      </c>
      <c r="AD1215" s="245">
        <v>154</v>
      </c>
      <c r="AE1215" s="245">
        <v>1.5</v>
      </c>
      <c r="AF1215" s="245">
        <v>176</v>
      </c>
      <c r="AG1215" s="245">
        <v>2.4</v>
      </c>
      <c r="AH1215" s="245" t="s">
        <v>956</v>
      </c>
      <c r="AI1215" s="245" t="s">
        <v>956</v>
      </c>
      <c r="AJ1215" s="245">
        <v>278</v>
      </c>
      <c r="AK1215" s="245" t="s">
        <v>990</v>
      </c>
      <c r="AL1215" s="245">
        <v>4.4000000000000004</v>
      </c>
      <c r="AM1215" s="246" t="s">
        <v>931</v>
      </c>
      <c r="AN1215" s="235">
        <v>606</v>
      </c>
      <c r="AO1215" s="247" t="s">
        <v>2553</v>
      </c>
      <c r="AP1215" s="247">
        <v>1000</v>
      </c>
      <c r="AQ1215" s="247">
        <v>27</v>
      </c>
      <c r="AR1215" s="247">
        <v>24</v>
      </c>
      <c r="AS1215" s="247">
        <v>25.9</v>
      </c>
      <c r="AT1215" s="247">
        <v>39</v>
      </c>
      <c r="AU1215" s="247" t="s">
        <v>934</v>
      </c>
      <c r="AV1215" s="247" t="s">
        <v>958</v>
      </c>
      <c r="AW1215" s="247" t="s">
        <v>931</v>
      </c>
      <c r="AX1215" s="247" t="s">
        <v>931</v>
      </c>
      <c r="AY1215" s="247">
        <v>75</v>
      </c>
      <c r="AZ1215" s="247" t="s">
        <v>1038</v>
      </c>
      <c r="BA1215" s="248">
        <v>1.5</v>
      </c>
      <c r="BB1215" s="235"/>
      <c r="BC1215" s="247" t="s">
        <v>2552</v>
      </c>
      <c r="BD1215" s="247"/>
      <c r="BE1215" s="247"/>
      <c r="BF1215" s="247"/>
      <c r="BG1215" s="247"/>
      <c r="BH1215" s="247"/>
      <c r="BI1215" s="247"/>
      <c r="BJ1215" s="247"/>
      <c r="BK1215" s="247"/>
      <c r="BL1215" s="247"/>
      <c r="BM1215" s="247"/>
      <c r="BN1215" s="247"/>
      <c r="BO1215" s="247"/>
      <c r="BP1215" s="248"/>
    </row>
    <row r="1216" spans="1:68" ht="14.25" customHeight="1">
      <c r="A1216" s="233">
        <v>559</v>
      </c>
      <c r="B1216" s="234">
        <v>500</v>
      </c>
      <c r="C1216" s="244" t="s">
        <v>960</v>
      </c>
      <c r="D1216" s="244" t="s">
        <v>961</v>
      </c>
      <c r="E1216" s="244" t="s">
        <v>2554</v>
      </c>
      <c r="F1216" s="245">
        <v>-13</v>
      </c>
      <c r="G1216" s="245">
        <v>-12.1</v>
      </c>
      <c r="H1216" s="245">
        <v>-4.9000000000000004</v>
      </c>
      <c r="I1216" s="245">
        <v>8.3000000000000007</v>
      </c>
      <c r="J1216" s="245">
        <v>16.8</v>
      </c>
      <c r="K1216" s="245">
        <v>22.1</v>
      </c>
      <c r="L1216" s="245">
        <v>24.6</v>
      </c>
      <c r="M1216" s="245">
        <v>22.7</v>
      </c>
      <c r="N1216" s="245">
        <v>15.7</v>
      </c>
      <c r="O1216" s="245">
        <v>6.3</v>
      </c>
      <c r="P1216" s="245">
        <v>-2.1</v>
      </c>
      <c r="Q1216" s="245">
        <v>-8.8000000000000007</v>
      </c>
      <c r="R1216" s="246">
        <v>6.3</v>
      </c>
      <c r="S1216" s="233">
        <v>500</v>
      </c>
      <c r="T1216" s="247" t="s">
        <v>2554</v>
      </c>
      <c r="U1216" s="245">
        <v>-39</v>
      </c>
      <c r="V1216" s="245">
        <v>-38</v>
      </c>
      <c r="W1216" s="245">
        <v>-36</v>
      </c>
      <c r="X1216" s="245">
        <v>-34</v>
      </c>
      <c r="Y1216" s="245">
        <v>-18</v>
      </c>
      <c r="Z1216" s="245">
        <v>-42</v>
      </c>
      <c r="AA1216" s="245">
        <v>8.6</v>
      </c>
      <c r="AB1216" s="245">
        <v>142</v>
      </c>
      <c r="AC1216" s="245">
        <v>-8.6999999999999993</v>
      </c>
      <c r="AD1216" s="245">
        <v>187</v>
      </c>
      <c r="AE1216" s="245">
        <v>-5.6</v>
      </c>
      <c r="AF1216" s="245">
        <v>201</v>
      </c>
      <c r="AG1216" s="245">
        <v>-4.5999999999999996</v>
      </c>
      <c r="AH1216" s="245">
        <v>81</v>
      </c>
      <c r="AI1216" s="245">
        <v>76</v>
      </c>
      <c r="AJ1216" s="245">
        <v>104</v>
      </c>
      <c r="AK1216" s="245" t="s">
        <v>990</v>
      </c>
      <c r="AL1216" s="245">
        <v>6.1</v>
      </c>
      <c r="AM1216" s="246">
        <v>4.4000000000000004</v>
      </c>
      <c r="AN1216" s="235">
        <v>500</v>
      </c>
      <c r="AO1216" s="247" t="s">
        <v>2555</v>
      </c>
      <c r="AP1216" s="247">
        <v>1005</v>
      </c>
      <c r="AQ1216" s="247">
        <v>29.8</v>
      </c>
      <c r="AR1216" s="247">
        <v>33.5</v>
      </c>
      <c r="AS1216" s="247">
        <v>31.3</v>
      </c>
      <c r="AT1216" s="247">
        <v>43</v>
      </c>
      <c r="AU1216" s="247">
        <v>14.1</v>
      </c>
      <c r="AV1216" s="247">
        <v>42</v>
      </c>
      <c r="AW1216" s="247" t="s">
        <v>931</v>
      </c>
      <c r="AX1216" s="247">
        <v>146</v>
      </c>
      <c r="AY1216" s="247" t="s">
        <v>965</v>
      </c>
      <c r="AZ1216" s="247" t="s">
        <v>959</v>
      </c>
      <c r="BA1216" s="248">
        <v>63</v>
      </c>
      <c r="BB1216" s="235"/>
      <c r="BC1216" s="247" t="s">
        <v>2554</v>
      </c>
      <c r="BD1216" s="247"/>
      <c r="BE1216" s="247"/>
      <c r="BF1216" s="247"/>
      <c r="BG1216" s="247"/>
      <c r="BH1216" s="247"/>
      <c r="BI1216" s="247"/>
      <c r="BJ1216" s="247"/>
      <c r="BK1216" s="247"/>
      <c r="BL1216" s="247"/>
      <c r="BM1216" s="247"/>
      <c r="BN1216" s="247"/>
      <c r="BO1216" s="247"/>
      <c r="BP1216" s="248"/>
    </row>
    <row r="1217" spans="1:68" ht="14.25" customHeight="1">
      <c r="A1217" s="233">
        <v>560</v>
      </c>
      <c r="B1217" s="234">
        <v>126</v>
      </c>
      <c r="C1217" s="244" t="s">
        <v>928</v>
      </c>
      <c r="D1217" s="244" t="s">
        <v>1023</v>
      </c>
      <c r="E1217" s="244" t="s">
        <v>2556</v>
      </c>
      <c r="F1217" s="245">
        <v>-15.8</v>
      </c>
      <c r="G1217" s="245">
        <v>-16.3</v>
      </c>
      <c r="H1217" s="245">
        <v>-13.5</v>
      </c>
      <c r="I1217" s="245">
        <v>-6.2</v>
      </c>
      <c r="J1217" s="245">
        <v>-0.1</v>
      </c>
      <c r="K1217" s="245">
        <v>6.3</v>
      </c>
      <c r="L1217" s="245">
        <v>12.2</v>
      </c>
      <c r="M1217" s="245">
        <v>12.6</v>
      </c>
      <c r="N1217" s="245">
        <v>8.1</v>
      </c>
      <c r="O1217" s="245">
        <v>0.7</v>
      </c>
      <c r="P1217" s="245">
        <v>-7.1</v>
      </c>
      <c r="Q1217" s="245">
        <v>-13.2</v>
      </c>
      <c r="R1217" s="246">
        <v>-2.7</v>
      </c>
      <c r="S1217" s="233">
        <v>126</v>
      </c>
      <c r="T1217" s="247" t="s">
        <v>2557</v>
      </c>
      <c r="U1217" s="245">
        <v>-39</v>
      </c>
      <c r="V1217" s="245">
        <v>-37</v>
      </c>
      <c r="W1217" s="245">
        <v>-36</v>
      </c>
      <c r="X1217" s="245">
        <v>-34</v>
      </c>
      <c r="Y1217" s="245">
        <v>-21</v>
      </c>
      <c r="Z1217" s="245">
        <v>-43</v>
      </c>
      <c r="AA1217" s="245">
        <v>9.6</v>
      </c>
      <c r="AB1217" s="245">
        <v>210</v>
      </c>
      <c r="AC1217" s="245">
        <v>-10.3</v>
      </c>
      <c r="AD1217" s="245">
        <v>281</v>
      </c>
      <c r="AE1217" s="245">
        <v>-6.7</v>
      </c>
      <c r="AF1217" s="245">
        <v>305</v>
      </c>
      <c r="AG1217" s="245">
        <v>-5.5</v>
      </c>
      <c r="AH1217" s="245">
        <v>82</v>
      </c>
      <c r="AI1217" s="245">
        <v>81</v>
      </c>
      <c r="AJ1217" s="245">
        <v>407</v>
      </c>
      <c r="AK1217" s="245" t="s">
        <v>996</v>
      </c>
      <c r="AL1217" s="245">
        <v>9.1999999999999993</v>
      </c>
      <c r="AM1217" s="246" t="s">
        <v>931</v>
      </c>
      <c r="AN1217" s="235">
        <v>126</v>
      </c>
      <c r="AO1217" s="247" t="s">
        <v>2558</v>
      </c>
      <c r="AP1217" s="247">
        <v>1010</v>
      </c>
      <c r="AQ1217" s="247">
        <v>14.6</v>
      </c>
      <c r="AR1217" s="247">
        <v>19.2</v>
      </c>
      <c r="AS1217" s="247">
        <v>17</v>
      </c>
      <c r="AT1217" s="247">
        <v>33</v>
      </c>
      <c r="AU1217" s="247">
        <v>8.5</v>
      </c>
      <c r="AV1217" s="247">
        <v>84</v>
      </c>
      <c r="AW1217" s="247">
        <v>74</v>
      </c>
      <c r="AX1217" s="247">
        <v>360</v>
      </c>
      <c r="AY1217" s="247" t="s">
        <v>965</v>
      </c>
      <c r="AZ1217" s="247" t="s">
        <v>940</v>
      </c>
      <c r="BA1217" s="248">
        <v>0</v>
      </c>
      <c r="BB1217" s="235">
        <v>109</v>
      </c>
      <c r="BC1217" s="247" t="s">
        <v>2556</v>
      </c>
      <c r="BD1217" s="247">
        <v>2.2000000000000002</v>
      </c>
      <c r="BE1217" s="247">
        <v>2.1</v>
      </c>
      <c r="BF1217" s="247">
        <v>2.2999999999999998</v>
      </c>
      <c r="BG1217" s="247">
        <v>3.3</v>
      </c>
      <c r="BH1217" s="247">
        <v>5.3</v>
      </c>
      <c r="BI1217" s="247">
        <v>8.1</v>
      </c>
      <c r="BJ1217" s="247">
        <v>11.9</v>
      </c>
      <c r="BK1217" s="247">
        <v>12</v>
      </c>
      <c r="BL1217" s="247">
        <v>8.9</v>
      </c>
      <c r="BM1217" s="247">
        <v>5.3</v>
      </c>
      <c r="BN1217" s="247">
        <v>3.2</v>
      </c>
      <c r="BO1217" s="247">
        <v>2.5</v>
      </c>
      <c r="BP1217" s="248">
        <v>5.6</v>
      </c>
    </row>
    <row r="1218" spans="1:68" ht="14.25" customHeight="1">
      <c r="A1218" s="233">
        <v>561</v>
      </c>
      <c r="B1218" s="234">
        <v>62</v>
      </c>
      <c r="C1218" s="244" t="s">
        <v>928</v>
      </c>
      <c r="D1218" s="244" t="s">
        <v>1089</v>
      </c>
      <c r="E1218" s="244" t="s">
        <v>240</v>
      </c>
      <c r="F1218" s="245">
        <v>-24.8</v>
      </c>
      <c r="G1218" s="245">
        <v>-21</v>
      </c>
      <c r="H1218" s="245">
        <v>-10.199999999999999</v>
      </c>
      <c r="I1218" s="245">
        <v>1.1000000000000001</v>
      </c>
      <c r="J1218" s="245">
        <v>8.6999999999999993</v>
      </c>
      <c r="K1218" s="245">
        <v>16</v>
      </c>
      <c r="L1218" s="245">
        <v>19.3</v>
      </c>
      <c r="M1218" s="245">
        <v>16.399999999999999</v>
      </c>
      <c r="N1218" s="245">
        <v>8.6999999999999993</v>
      </c>
      <c r="O1218" s="245">
        <v>-0.2</v>
      </c>
      <c r="P1218" s="245">
        <v>-12.4</v>
      </c>
      <c r="Q1218" s="245">
        <v>-21.4</v>
      </c>
      <c r="R1218" s="246">
        <v>-1.7</v>
      </c>
      <c r="S1218" s="233">
        <v>62</v>
      </c>
      <c r="T1218" s="247" t="s">
        <v>2559</v>
      </c>
      <c r="U1218" s="245">
        <v>-46</v>
      </c>
      <c r="V1218" s="245">
        <v>-40</v>
      </c>
      <c r="W1218" s="245">
        <v>-40</v>
      </c>
      <c r="X1218" s="245">
        <v>-37</v>
      </c>
      <c r="Y1218" s="245">
        <v>-30</v>
      </c>
      <c r="Z1218" s="245">
        <v>-51</v>
      </c>
      <c r="AA1218" s="245">
        <v>11.1</v>
      </c>
      <c r="AB1218" s="245">
        <v>179</v>
      </c>
      <c r="AC1218" s="245">
        <v>-15</v>
      </c>
      <c r="AD1218" s="245">
        <v>237</v>
      </c>
      <c r="AE1218" s="245">
        <v>-10.4</v>
      </c>
      <c r="AF1218" s="245">
        <v>253</v>
      </c>
      <c r="AG1218" s="245">
        <v>-9.1999999999999993</v>
      </c>
      <c r="AH1218" s="245">
        <v>74</v>
      </c>
      <c r="AI1218" s="245">
        <v>68</v>
      </c>
      <c r="AJ1218" s="245">
        <v>36</v>
      </c>
      <c r="AK1218" s="245" t="s">
        <v>950</v>
      </c>
      <c r="AL1218" s="245">
        <v>2.8</v>
      </c>
      <c r="AM1218" s="246">
        <v>2.5</v>
      </c>
      <c r="AN1218" s="235">
        <v>62</v>
      </c>
      <c r="AO1218" s="247" t="s">
        <v>2560</v>
      </c>
      <c r="AP1218" s="247">
        <v>950</v>
      </c>
      <c r="AQ1218" s="247">
        <v>23.5</v>
      </c>
      <c r="AR1218" s="247">
        <v>28</v>
      </c>
      <c r="AS1218" s="247">
        <v>25.9</v>
      </c>
      <c r="AT1218" s="247">
        <v>40</v>
      </c>
      <c r="AU1218" s="247">
        <v>13.2</v>
      </c>
      <c r="AV1218" s="247">
        <v>65</v>
      </c>
      <c r="AW1218" s="247">
        <v>47</v>
      </c>
      <c r="AX1218" s="247">
        <v>228</v>
      </c>
      <c r="AY1218" s="247">
        <v>92</v>
      </c>
      <c r="AZ1218" s="247" t="s">
        <v>959</v>
      </c>
      <c r="BA1218" s="248">
        <v>0</v>
      </c>
      <c r="BB1218" s="235">
        <v>48</v>
      </c>
      <c r="BC1218" s="247" t="s">
        <v>240</v>
      </c>
      <c r="BD1218" s="247">
        <v>0.8</v>
      </c>
      <c r="BE1218" s="247">
        <v>0.9</v>
      </c>
      <c r="BF1218" s="247">
        <v>2.1</v>
      </c>
      <c r="BG1218" s="247">
        <v>3.5</v>
      </c>
      <c r="BH1218" s="247">
        <v>5.5</v>
      </c>
      <c r="BI1218" s="247">
        <v>10.1</v>
      </c>
      <c r="BJ1218" s="247">
        <v>14</v>
      </c>
      <c r="BK1218" s="247">
        <v>12.7</v>
      </c>
      <c r="BL1218" s="247">
        <v>7.8</v>
      </c>
      <c r="BM1218" s="247">
        <v>4.0999999999999996</v>
      </c>
      <c r="BN1218" s="247">
        <v>2</v>
      </c>
      <c r="BO1218" s="247">
        <v>1.1000000000000001</v>
      </c>
      <c r="BP1218" s="248">
        <v>5.4</v>
      </c>
    </row>
    <row r="1219" spans="1:68" ht="14.25" customHeight="1">
      <c r="A1219" s="233">
        <v>562</v>
      </c>
      <c r="B1219" s="234">
        <v>344</v>
      </c>
      <c r="C1219" s="244" t="s">
        <v>928</v>
      </c>
      <c r="D1219" s="244" t="s">
        <v>2385</v>
      </c>
      <c r="E1219" s="244" t="s">
        <v>241</v>
      </c>
      <c r="F1219" s="245">
        <v>-13.8</v>
      </c>
      <c r="G1219" s="245">
        <v>-13.2</v>
      </c>
      <c r="H1219" s="245">
        <v>-6.8</v>
      </c>
      <c r="I1219" s="245">
        <v>4.0999999999999996</v>
      </c>
      <c r="J1219" s="245">
        <v>12.6</v>
      </c>
      <c r="K1219" s="245">
        <v>17.600000000000001</v>
      </c>
      <c r="L1219" s="245">
        <v>19.600000000000001</v>
      </c>
      <c r="M1219" s="245">
        <v>17.600000000000001</v>
      </c>
      <c r="N1219" s="245">
        <v>11.4</v>
      </c>
      <c r="O1219" s="245">
        <v>3.8</v>
      </c>
      <c r="P1219" s="245">
        <v>-4.0999999999999996</v>
      </c>
      <c r="Q1219" s="245">
        <v>-10.4</v>
      </c>
      <c r="R1219" s="246">
        <v>3.2</v>
      </c>
      <c r="S1219" s="233">
        <v>344</v>
      </c>
      <c r="T1219" s="247" t="s">
        <v>2561</v>
      </c>
      <c r="U1219" s="245">
        <v>-38</v>
      </c>
      <c r="V1219" s="245">
        <v>-36</v>
      </c>
      <c r="W1219" s="245">
        <v>-36</v>
      </c>
      <c r="X1219" s="245">
        <v>-31</v>
      </c>
      <c r="Y1219" s="245">
        <v>-19</v>
      </c>
      <c r="Z1219" s="245">
        <v>-48</v>
      </c>
      <c r="AA1219" s="245">
        <v>7.4</v>
      </c>
      <c r="AB1219" s="245">
        <v>155</v>
      </c>
      <c r="AC1219" s="245">
        <v>-8.9</v>
      </c>
      <c r="AD1219" s="245">
        <v>212</v>
      </c>
      <c r="AE1219" s="245">
        <v>-5.4</v>
      </c>
      <c r="AF1219" s="245">
        <v>228</v>
      </c>
      <c r="AG1219" s="245">
        <v>-4.4000000000000004</v>
      </c>
      <c r="AH1219" s="245">
        <v>82</v>
      </c>
      <c r="AI1219" s="245">
        <v>81</v>
      </c>
      <c r="AJ1219" s="245">
        <v>220</v>
      </c>
      <c r="AK1219" s="245" t="s">
        <v>931</v>
      </c>
      <c r="AL1219" s="245" t="s">
        <v>931</v>
      </c>
      <c r="AM1219" s="246" t="s">
        <v>931</v>
      </c>
      <c r="AN1219" s="235">
        <v>344</v>
      </c>
      <c r="AO1219" s="247" t="s">
        <v>2562</v>
      </c>
      <c r="AP1219" s="247">
        <v>990</v>
      </c>
      <c r="AQ1219" s="247">
        <v>23.3</v>
      </c>
      <c r="AR1219" s="247">
        <v>27.4</v>
      </c>
      <c r="AS1219" s="247">
        <v>25.7</v>
      </c>
      <c r="AT1219" s="247">
        <v>40</v>
      </c>
      <c r="AU1219" s="247">
        <v>11.8</v>
      </c>
      <c r="AV1219" s="247">
        <v>66</v>
      </c>
      <c r="AW1219" s="247">
        <v>49</v>
      </c>
      <c r="AX1219" s="247">
        <v>328</v>
      </c>
      <c r="AY1219" s="247" t="s">
        <v>965</v>
      </c>
      <c r="AZ1219" s="247" t="s">
        <v>933</v>
      </c>
      <c r="BA1219" s="248" t="s">
        <v>934</v>
      </c>
      <c r="BB1219" s="235"/>
      <c r="BC1219" s="247" t="s">
        <v>241</v>
      </c>
      <c r="BD1219" s="247"/>
      <c r="BE1219" s="247"/>
      <c r="BF1219" s="247"/>
      <c r="BG1219" s="247"/>
      <c r="BH1219" s="247"/>
      <c r="BI1219" s="247"/>
      <c r="BJ1219" s="247"/>
      <c r="BK1219" s="247"/>
      <c r="BL1219" s="247"/>
      <c r="BM1219" s="247"/>
      <c r="BN1219" s="247"/>
      <c r="BO1219" s="247"/>
      <c r="BP1219" s="248"/>
    </row>
    <row r="1220" spans="1:68" ht="14.25" customHeight="1">
      <c r="A1220" s="233">
        <v>563</v>
      </c>
      <c r="B1220" s="234">
        <v>646</v>
      </c>
      <c r="C1220" s="244" t="s">
        <v>953</v>
      </c>
      <c r="D1220" s="244" t="s">
        <v>1544</v>
      </c>
      <c r="E1220" s="244" t="s">
        <v>2563</v>
      </c>
      <c r="F1220" s="245">
        <v>-5.7</v>
      </c>
      <c r="G1220" s="245">
        <v>-4.2</v>
      </c>
      <c r="H1220" s="245">
        <v>0.4</v>
      </c>
      <c r="I1220" s="245">
        <v>8.5</v>
      </c>
      <c r="J1220" s="245">
        <v>14.6</v>
      </c>
      <c r="K1220" s="245">
        <v>17.600000000000001</v>
      </c>
      <c r="L1220" s="245">
        <v>19</v>
      </c>
      <c r="M1220" s="245">
        <v>18.2</v>
      </c>
      <c r="N1220" s="245">
        <v>13.6</v>
      </c>
      <c r="O1220" s="245">
        <v>7.6</v>
      </c>
      <c r="P1220" s="245">
        <v>2.1</v>
      </c>
      <c r="Q1220" s="245">
        <v>-2.4</v>
      </c>
      <c r="R1220" s="246">
        <v>7.4</v>
      </c>
      <c r="S1220" s="233">
        <v>635</v>
      </c>
      <c r="T1220" s="247" t="s">
        <v>2563</v>
      </c>
      <c r="U1220" s="245">
        <v>-29</v>
      </c>
      <c r="V1220" s="245">
        <v>-25</v>
      </c>
      <c r="W1220" s="245">
        <v>-23</v>
      </c>
      <c r="X1220" s="245">
        <v>-20</v>
      </c>
      <c r="Y1220" s="245">
        <v>-8</v>
      </c>
      <c r="Z1220" s="245">
        <v>-35</v>
      </c>
      <c r="AA1220" s="245" t="s">
        <v>956</v>
      </c>
      <c r="AB1220" s="245">
        <v>104</v>
      </c>
      <c r="AC1220" s="245">
        <v>-3.7</v>
      </c>
      <c r="AD1220" s="245">
        <v>178</v>
      </c>
      <c r="AE1220" s="245">
        <v>-0.6</v>
      </c>
      <c r="AF1220" s="245">
        <v>195</v>
      </c>
      <c r="AG1220" s="245">
        <v>0.2</v>
      </c>
      <c r="AH1220" s="245" t="s">
        <v>956</v>
      </c>
      <c r="AI1220" s="245" t="s">
        <v>956</v>
      </c>
      <c r="AJ1220" s="245">
        <v>220</v>
      </c>
      <c r="AK1220" s="245" t="s">
        <v>944</v>
      </c>
      <c r="AL1220" s="245" t="s">
        <v>931</v>
      </c>
      <c r="AM1220" s="246" t="s">
        <v>931</v>
      </c>
      <c r="AN1220" s="235">
        <v>636</v>
      </c>
      <c r="AO1220" s="247" t="s">
        <v>2564</v>
      </c>
      <c r="AP1220" s="247">
        <v>990</v>
      </c>
      <c r="AQ1220" s="247">
        <v>29</v>
      </c>
      <c r="AR1220" s="247">
        <v>23</v>
      </c>
      <c r="AS1220" s="247">
        <v>24.8</v>
      </c>
      <c r="AT1220" s="247">
        <v>38</v>
      </c>
      <c r="AU1220" s="247" t="s">
        <v>934</v>
      </c>
      <c r="AV1220" s="247" t="s">
        <v>958</v>
      </c>
      <c r="AW1220" s="247" t="s">
        <v>931</v>
      </c>
      <c r="AX1220" s="247" t="s">
        <v>931</v>
      </c>
      <c r="AY1220" s="247">
        <v>155</v>
      </c>
      <c r="AZ1220" s="247" t="s">
        <v>959</v>
      </c>
      <c r="BA1220" s="248">
        <v>1.5</v>
      </c>
      <c r="BB1220" s="235"/>
      <c r="BC1220" s="247" t="s">
        <v>2563</v>
      </c>
      <c r="BD1220" s="247"/>
      <c r="BE1220" s="247"/>
      <c r="BF1220" s="247"/>
      <c r="BG1220" s="247"/>
      <c r="BH1220" s="247"/>
      <c r="BI1220" s="247"/>
      <c r="BJ1220" s="247"/>
      <c r="BK1220" s="247"/>
      <c r="BL1220" s="247"/>
      <c r="BM1220" s="247"/>
      <c r="BN1220" s="247"/>
      <c r="BO1220" s="247"/>
      <c r="BP1220" s="248"/>
    </row>
    <row r="1221" spans="1:68" ht="14.25" customHeight="1">
      <c r="A1221" s="233">
        <v>564</v>
      </c>
      <c r="B1221" s="234">
        <v>225</v>
      </c>
      <c r="C1221" s="244" t="s">
        <v>928</v>
      </c>
      <c r="D1221" s="244" t="s">
        <v>1246</v>
      </c>
      <c r="E1221" s="244" t="s">
        <v>2565</v>
      </c>
      <c r="F1221" s="245">
        <v>-11</v>
      </c>
      <c r="G1221" s="245">
        <v>-11.9</v>
      </c>
      <c r="H1221" s="245">
        <v>-8</v>
      </c>
      <c r="I1221" s="245">
        <v>-1.9</v>
      </c>
      <c r="J1221" s="245">
        <v>3.9</v>
      </c>
      <c r="K1221" s="245">
        <v>10.5</v>
      </c>
      <c r="L1221" s="245">
        <v>14.3</v>
      </c>
      <c r="M1221" s="245">
        <v>12.6</v>
      </c>
      <c r="N1221" s="245">
        <v>7.4</v>
      </c>
      <c r="O1221" s="245">
        <v>1.3</v>
      </c>
      <c r="P1221" s="245">
        <v>-3.6</v>
      </c>
      <c r="Q1221" s="245">
        <v>-7.8</v>
      </c>
      <c r="R1221" s="246">
        <v>0.5</v>
      </c>
      <c r="S1221" s="233">
        <v>225</v>
      </c>
      <c r="T1221" s="247" t="s">
        <v>2566</v>
      </c>
      <c r="U1221" s="245">
        <v>-37</v>
      </c>
      <c r="V1221" s="245">
        <v>-33</v>
      </c>
      <c r="W1221" s="245">
        <v>-34</v>
      </c>
      <c r="X1221" s="245">
        <v>-29</v>
      </c>
      <c r="Y1221" s="245">
        <v>-17</v>
      </c>
      <c r="Z1221" s="245">
        <v>-40</v>
      </c>
      <c r="AA1221" s="245">
        <v>7.1</v>
      </c>
      <c r="AB1221" s="245">
        <v>183</v>
      </c>
      <c r="AC1221" s="245">
        <v>-7.1</v>
      </c>
      <c r="AD1221" s="245">
        <v>265</v>
      </c>
      <c r="AE1221" s="245">
        <v>-3.7</v>
      </c>
      <c r="AF1221" s="245">
        <v>286</v>
      </c>
      <c r="AG1221" s="245">
        <v>-2.8</v>
      </c>
      <c r="AH1221" s="245">
        <v>86</v>
      </c>
      <c r="AI1221" s="245">
        <v>85</v>
      </c>
      <c r="AJ1221" s="245">
        <v>164</v>
      </c>
      <c r="AK1221" s="245" t="s">
        <v>996</v>
      </c>
      <c r="AL1221" s="245" t="s">
        <v>931</v>
      </c>
      <c r="AM1221" s="246">
        <v>4.5999999999999996</v>
      </c>
      <c r="AN1221" s="235">
        <v>225</v>
      </c>
      <c r="AO1221" s="247" t="s">
        <v>2567</v>
      </c>
      <c r="AP1221" s="247">
        <v>1010</v>
      </c>
      <c r="AQ1221" s="247">
        <v>16.2</v>
      </c>
      <c r="AR1221" s="247">
        <v>20.8</v>
      </c>
      <c r="AS1221" s="247">
        <v>18.7</v>
      </c>
      <c r="AT1221" s="247">
        <v>32</v>
      </c>
      <c r="AU1221" s="247">
        <v>8.1999999999999993</v>
      </c>
      <c r="AV1221" s="247">
        <v>72</v>
      </c>
      <c r="AW1221" s="247">
        <v>62</v>
      </c>
      <c r="AX1221" s="247">
        <v>334</v>
      </c>
      <c r="AY1221" s="247">
        <v>67</v>
      </c>
      <c r="AZ1221" s="247" t="s">
        <v>946</v>
      </c>
      <c r="BA1221" s="248" t="s">
        <v>934</v>
      </c>
      <c r="BB1221" s="235">
        <v>200</v>
      </c>
      <c r="BC1221" s="247" t="s">
        <v>2565</v>
      </c>
      <c r="BD1221" s="247">
        <v>2.6</v>
      </c>
      <c r="BE1221" s="247">
        <v>2.5</v>
      </c>
      <c r="BF1221" s="247">
        <v>3</v>
      </c>
      <c r="BG1221" s="247">
        <v>4.2</v>
      </c>
      <c r="BH1221" s="247">
        <v>5.7</v>
      </c>
      <c r="BI1221" s="247">
        <v>8.9</v>
      </c>
      <c r="BJ1221" s="247">
        <v>11.8</v>
      </c>
      <c r="BK1221" s="247">
        <v>11.8</v>
      </c>
      <c r="BL1221" s="247">
        <v>8.8000000000000007</v>
      </c>
      <c r="BM1221" s="247">
        <v>5.9</v>
      </c>
      <c r="BN1221" s="247">
        <v>4.5</v>
      </c>
      <c r="BO1221" s="247">
        <v>3.4</v>
      </c>
      <c r="BP1221" s="248">
        <v>6.2</v>
      </c>
    </row>
    <row r="1222" spans="1:68" ht="14.25" customHeight="1">
      <c r="A1222" s="233">
        <v>565</v>
      </c>
      <c r="B1222" s="234">
        <v>33</v>
      </c>
      <c r="C1222" s="244" t="s">
        <v>928</v>
      </c>
      <c r="D1222" s="244" t="s">
        <v>1046</v>
      </c>
      <c r="E1222" s="244" t="s">
        <v>2568</v>
      </c>
      <c r="F1222" s="245">
        <v>-30</v>
      </c>
      <c r="G1222" s="245">
        <v>-24.5</v>
      </c>
      <c r="H1222" s="245">
        <v>-15.9</v>
      </c>
      <c r="I1222" s="245">
        <v>-3.5</v>
      </c>
      <c r="J1222" s="245">
        <v>6.2</v>
      </c>
      <c r="K1222" s="245">
        <v>13.6</v>
      </c>
      <c r="L1222" s="245">
        <v>17.2</v>
      </c>
      <c r="M1222" s="245">
        <v>14.1</v>
      </c>
      <c r="N1222" s="245">
        <v>6.9</v>
      </c>
      <c r="O1222" s="245">
        <v>-5.0999999999999996</v>
      </c>
      <c r="P1222" s="245">
        <v>-20.2</v>
      </c>
      <c r="Q1222" s="245">
        <v>-28.3</v>
      </c>
      <c r="R1222" s="246">
        <v>-5.8</v>
      </c>
      <c r="S1222" s="233">
        <v>33</v>
      </c>
      <c r="T1222" s="247" t="s">
        <v>2569</v>
      </c>
      <c r="U1222" s="245">
        <v>-48</v>
      </c>
      <c r="V1222" s="245">
        <v>-45</v>
      </c>
      <c r="W1222" s="245">
        <v>-44</v>
      </c>
      <c r="X1222" s="245">
        <v>-42</v>
      </c>
      <c r="Y1222" s="245">
        <v>-35</v>
      </c>
      <c r="Z1222" s="245">
        <v>-55</v>
      </c>
      <c r="AA1222" s="245">
        <v>16.100000000000001</v>
      </c>
      <c r="AB1222" s="245">
        <v>206</v>
      </c>
      <c r="AC1222" s="245">
        <v>-18.399999999999999</v>
      </c>
      <c r="AD1222" s="245">
        <v>255</v>
      </c>
      <c r="AE1222" s="245">
        <v>-14</v>
      </c>
      <c r="AF1222" s="245">
        <v>271</v>
      </c>
      <c r="AG1222" s="245">
        <v>-12.6</v>
      </c>
      <c r="AH1222" s="245">
        <v>67</v>
      </c>
      <c r="AI1222" s="245">
        <v>59</v>
      </c>
      <c r="AJ1222" s="245">
        <v>64</v>
      </c>
      <c r="AK1222" s="245" t="s">
        <v>944</v>
      </c>
      <c r="AL1222" s="245" t="s">
        <v>931</v>
      </c>
      <c r="AM1222" s="246" t="s">
        <v>931</v>
      </c>
      <c r="AN1222" s="235">
        <v>33</v>
      </c>
      <c r="AO1222" s="247" t="s">
        <v>2570</v>
      </c>
      <c r="AP1222" s="247">
        <v>955</v>
      </c>
      <c r="AQ1222" s="247">
        <v>22.5</v>
      </c>
      <c r="AR1222" s="247">
        <v>26.6</v>
      </c>
      <c r="AS1222" s="247">
        <v>24.9</v>
      </c>
      <c r="AT1222" s="247">
        <v>36</v>
      </c>
      <c r="AU1222" s="247">
        <v>15.8</v>
      </c>
      <c r="AV1222" s="247">
        <v>77</v>
      </c>
      <c r="AW1222" s="247">
        <v>56</v>
      </c>
      <c r="AX1222" s="247">
        <v>558</v>
      </c>
      <c r="AY1222" s="247">
        <v>86</v>
      </c>
      <c r="AZ1222" s="247" t="s">
        <v>959</v>
      </c>
      <c r="BA1222" s="248" t="s">
        <v>934</v>
      </c>
      <c r="BB1222" s="235">
        <v>20</v>
      </c>
      <c r="BC1222" s="247" t="s">
        <v>2568</v>
      </c>
      <c r="BD1222" s="247">
        <v>0.5</v>
      </c>
      <c r="BE1222" s="247">
        <v>0.6</v>
      </c>
      <c r="BF1222" s="247">
        <v>1.3</v>
      </c>
      <c r="BG1222" s="247">
        <v>2.9</v>
      </c>
      <c r="BH1222" s="247">
        <v>5.4</v>
      </c>
      <c r="BI1222" s="247">
        <v>10.5</v>
      </c>
      <c r="BJ1222" s="247">
        <v>14.7</v>
      </c>
      <c r="BK1222" s="247">
        <v>13.3</v>
      </c>
      <c r="BL1222" s="247">
        <v>7.6</v>
      </c>
      <c r="BM1222" s="247">
        <v>3.1</v>
      </c>
      <c r="BN1222" s="247">
        <v>1</v>
      </c>
      <c r="BO1222" s="247">
        <v>0.5</v>
      </c>
      <c r="BP1222" s="248">
        <v>5.0999999999999996</v>
      </c>
    </row>
    <row r="1223" spans="1:68" ht="14.25" customHeight="1">
      <c r="A1223" s="233">
        <v>566</v>
      </c>
      <c r="B1223" s="234">
        <v>517</v>
      </c>
      <c r="C1223" s="244" t="s">
        <v>960</v>
      </c>
      <c r="D1223" s="244" t="s">
        <v>1433</v>
      </c>
      <c r="E1223" s="244" t="s">
        <v>2571</v>
      </c>
      <c r="F1223" s="245">
        <v>-13.5</v>
      </c>
      <c r="G1223" s="245">
        <v>-13.2</v>
      </c>
      <c r="H1223" s="245">
        <v>-6.7</v>
      </c>
      <c r="I1223" s="245">
        <v>6.2</v>
      </c>
      <c r="J1223" s="245">
        <v>15.4</v>
      </c>
      <c r="K1223" s="245">
        <v>20.3</v>
      </c>
      <c r="L1223" s="245">
        <v>22.6</v>
      </c>
      <c r="M1223" s="245">
        <v>20.6</v>
      </c>
      <c r="N1223" s="245">
        <v>13.8</v>
      </c>
      <c r="O1223" s="245">
        <v>5.0999999999999996</v>
      </c>
      <c r="P1223" s="245">
        <v>-2.9</v>
      </c>
      <c r="Q1223" s="245">
        <v>-9.8000000000000007</v>
      </c>
      <c r="R1223" s="246">
        <v>4.8</v>
      </c>
      <c r="S1223" s="233">
        <v>517</v>
      </c>
      <c r="T1223" s="247" t="s">
        <v>2571</v>
      </c>
      <c r="U1223" s="245">
        <v>-38</v>
      </c>
      <c r="V1223" s="245">
        <v>-36</v>
      </c>
      <c r="W1223" s="245">
        <v>-33</v>
      </c>
      <c r="X1223" s="245">
        <v>-30</v>
      </c>
      <c r="Y1223" s="245">
        <v>-19</v>
      </c>
      <c r="Z1223" s="245">
        <v>-43</v>
      </c>
      <c r="AA1223" s="245">
        <v>8.6</v>
      </c>
      <c r="AB1223" s="245">
        <v>148</v>
      </c>
      <c r="AC1223" s="245">
        <v>-9.4</v>
      </c>
      <c r="AD1223" s="245">
        <v>198</v>
      </c>
      <c r="AE1223" s="245">
        <v>-5.9</v>
      </c>
      <c r="AF1223" s="245">
        <v>209</v>
      </c>
      <c r="AG1223" s="245">
        <v>-5.0999999999999996</v>
      </c>
      <c r="AH1223" s="245" t="s">
        <v>956</v>
      </c>
      <c r="AI1223" s="245" t="s">
        <v>956</v>
      </c>
      <c r="AJ1223" s="245">
        <v>112</v>
      </c>
      <c r="AK1223" s="245" t="s">
        <v>990</v>
      </c>
      <c r="AL1223" s="245">
        <v>4.7</v>
      </c>
      <c r="AM1223" s="246">
        <v>3</v>
      </c>
      <c r="AN1223" s="235">
        <v>517</v>
      </c>
      <c r="AO1223" s="247" t="s">
        <v>2572</v>
      </c>
      <c r="AP1223" s="247" t="s">
        <v>965</v>
      </c>
      <c r="AQ1223" s="247">
        <v>27.8</v>
      </c>
      <c r="AR1223" s="247">
        <v>31.7</v>
      </c>
      <c r="AS1223" s="247">
        <v>29.5</v>
      </c>
      <c r="AT1223" s="247">
        <v>42</v>
      </c>
      <c r="AU1223" s="247">
        <v>14.4</v>
      </c>
      <c r="AV1223" s="247" t="s">
        <v>958</v>
      </c>
      <c r="AW1223" s="247">
        <v>38</v>
      </c>
      <c r="AX1223" s="247">
        <v>195</v>
      </c>
      <c r="AY1223" s="247" t="s">
        <v>965</v>
      </c>
      <c r="AZ1223" s="247" t="s">
        <v>959</v>
      </c>
      <c r="BA1223" s="248">
        <v>2.6</v>
      </c>
      <c r="BB1223" s="235"/>
      <c r="BC1223" s="247" t="s">
        <v>2571</v>
      </c>
      <c r="BD1223" s="247"/>
      <c r="BE1223" s="247"/>
      <c r="BF1223" s="247"/>
      <c r="BG1223" s="247"/>
      <c r="BH1223" s="247"/>
      <c r="BI1223" s="247"/>
      <c r="BJ1223" s="247"/>
      <c r="BK1223" s="247"/>
      <c r="BL1223" s="247"/>
      <c r="BM1223" s="247"/>
      <c r="BN1223" s="247"/>
      <c r="BO1223" s="247"/>
      <c r="BP1223" s="248"/>
    </row>
    <row r="1224" spans="1:68" ht="14.25" customHeight="1">
      <c r="A1224" s="233">
        <v>567</v>
      </c>
      <c r="B1224" s="234">
        <v>577</v>
      </c>
      <c r="C1224" s="244" t="s">
        <v>1353</v>
      </c>
      <c r="D1224" s="244" t="s">
        <v>1589</v>
      </c>
      <c r="E1224" s="244" t="s">
        <v>2573</v>
      </c>
      <c r="F1224" s="245">
        <v>-1.8</v>
      </c>
      <c r="G1224" s="245">
        <v>0.1</v>
      </c>
      <c r="H1224" s="245">
        <v>4.9000000000000004</v>
      </c>
      <c r="I1224" s="245">
        <v>11.8</v>
      </c>
      <c r="J1224" s="245">
        <v>17.2</v>
      </c>
      <c r="K1224" s="245">
        <v>22.1</v>
      </c>
      <c r="L1224" s="245">
        <v>24.8</v>
      </c>
      <c r="M1224" s="245">
        <v>22.9</v>
      </c>
      <c r="N1224" s="245">
        <v>17.600000000000001</v>
      </c>
      <c r="O1224" s="245">
        <v>11.1</v>
      </c>
      <c r="P1224" s="245">
        <v>4.5999999999999996</v>
      </c>
      <c r="Q1224" s="245">
        <v>0.2</v>
      </c>
      <c r="R1224" s="246">
        <v>11.3</v>
      </c>
      <c r="S1224" s="251"/>
      <c r="T1224" s="247" t="s">
        <v>2574</v>
      </c>
      <c r="U1224" s="247"/>
      <c r="V1224" s="247"/>
      <c r="W1224" s="247"/>
      <c r="X1224" s="247"/>
      <c r="Y1224" s="247"/>
      <c r="Z1224" s="247"/>
      <c r="AA1224" s="247"/>
      <c r="AB1224" s="247"/>
      <c r="AC1224" s="247"/>
      <c r="AD1224" s="247"/>
      <c r="AE1224" s="247"/>
      <c r="AF1224" s="247"/>
      <c r="AG1224" s="247"/>
      <c r="AH1224" s="247"/>
      <c r="AI1224" s="247"/>
      <c r="AJ1224" s="247"/>
      <c r="AK1224" s="247"/>
      <c r="AL1224" s="247"/>
      <c r="AM1224" s="248"/>
      <c r="AN1224" s="235"/>
      <c r="AO1224" s="247" t="s">
        <v>2574</v>
      </c>
      <c r="AP1224" s="247"/>
      <c r="AQ1224" s="247"/>
      <c r="AR1224" s="247"/>
      <c r="AS1224" s="247"/>
      <c r="AT1224" s="247"/>
      <c r="AU1224" s="247"/>
      <c r="AV1224" s="247"/>
      <c r="AW1224" s="247"/>
      <c r="AX1224" s="247"/>
      <c r="AY1224" s="247"/>
      <c r="AZ1224" s="247"/>
      <c r="BA1224" s="248"/>
      <c r="BB1224" s="235"/>
      <c r="BC1224" s="247" t="s">
        <v>2573</v>
      </c>
      <c r="BD1224" s="247"/>
      <c r="BE1224" s="247"/>
      <c r="BF1224" s="247"/>
      <c r="BG1224" s="247"/>
      <c r="BH1224" s="247"/>
      <c r="BI1224" s="247"/>
      <c r="BJ1224" s="247"/>
      <c r="BK1224" s="247"/>
      <c r="BL1224" s="247"/>
      <c r="BM1224" s="247"/>
      <c r="BN1224" s="247"/>
      <c r="BO1224" s="247"/>
      <c r="BP1224" s="248"/>
    </row>
    <row r="1225" spans="1:68" ht="14.25" customHeight="1">
      <c r="A1225" s="233">
        <v>568</v>
      </c>
      <c r="B1225" s="234">
        <v>606</v>
      </c>
      <c r="C1225" s="244" t="s">
        <v>1015</v>
      </c>
      <c r="D1225" s="244" t="s">
        <v>2575</v>
      </c>
      <c r="E1225" s="244" t="s">
        <v>2576</v>
      </c>
      <c r="F1225" s="245">
        <v>-3.7</v>
      </c>
      <c r="G1225" s="245">
        <v>-2.2999999999999998</v>
      </c>
      <c r="H1225" s="245">
        <v>4.9000000000000004</v>
      </c>
      <c r="I1225" s="245">
        <v>14.4</v>
      </c>
      <c r="J1225" s="245">
        <v>21.6</v>
      </c>
      <c r="K1225" s="245">
        <v>26.4</v>
      </c>
      <c r="L1225" s="245">
        <v>28.2</v>
      </c>
      <c r="M1225" s="245">
        <v>25.7</v>
      </c>
      <c r="N1225" s="245">
        <v>19.399999999999999</v>
      </c>
      <c r="O1225" s="245">
        <v>11.4</v>
      </c>
      <c r="P1225" s="245">
        <v>3.8</v>
      </c>
      <c r="Q1225" s="245">
        <v>-1.6</v>
      </c>
      <c r="R1225" s="246">
        <v>12.4</v>
      </c>
      <c r="S1225" s="233">
        <v>595</v>
      </c>
      <c r="T1225" s="247" t="s">
        <v>2576</v>
      </c>
      <c r="U1225" s="245">
        <v>-23</v>
      </c>
      <c r="V1225" s="245">
        <v>-21</v>
      </c>
      <c r="W1225" s="245">
        <v>-21</v>
      </c>
      <c r="X1225" s="245" t="s">
        <v>965</v>
      </c>
      <c r="Y1225" s="245">
        <v>-8</v>
      </c>
      <c r="Z1225" s="245">
        <v>-28</v>
      </c>
      <c r="AA1225" s="245">
        <v>8.8000000000000007</v>
      </c>
      <c r="AB1225" s="245">
        <v>79</v>
      </c>
      <c r="AC1225" s="245" t="s">
        <v>958</v>
      </c>
      <c r="AD1225" s="245">
        <v>148</v>
      </c>
      <c r="AE1225" s="245">
        <v>0.8</v>
      </c>
      <c r="AF1225" s="245" t="s">
        <v>933</v>
      </c>
      <c r="AG1225" s="245" t="s">
        <v>931</v>
      </c>
      <c r="AH1225" s="245" t="s">
        <v>956</v>
      </c>
      <c r="AI1225" s="245" t="s">
        <v>956</v>
      </c>
      <c r="AJ1225" s="245" t="s">
        <v>1018</v>
      </c>
      <c r="AK1225" s="245" t="s">
        <v>931</v>
      </c>
      <c r="AL1225" s="245" t="s">
        <v>931</v>
      </c>
      <c r="AM1225" s="246">
        <v>4.5999999999999996</v>
      </c>
      <c r="AN1225" s="235">
        <v>596</v>
      </c>
      <c r="AO1225" s="247" t="s">
        <v>2577</v>
      </c>
      <c r="AP1225" s="247">
        <v>1010</v>
      </c>
      <c r="AQ1225" s="247">
        <v>33.5</v>
      </c>
      <c r="AR1225" s="247">
        <v>37.6</v>
      </c>
      <c r="AS1225" s="247">
        <v>35.4</v>
      </c>
      <c r="AT1225" s="247">
        <v>45</v>
      </c>
      <c r="AU1225" s="247">
        <v>14.6</v>
      </c>
      <c r="AV1225" s="247" t="s">
        <v>958</v>
      </c>
      <c r="AW1225" s="247" t="s">
        <v>931</v>
      </c>
      <c r="AX1225" s="247" t="s">
        <v>931</v>
      </c>
      <c r="AY1225" s="247">
        <v>42</v>
      </c>
      <c r="AZ1225" s="247" t="s">
        <v>933</v>
      </c>
      <c r="BA1225" s="248">
        <v>0</v>
      </c>
      <c r="BB1225" s="235"/>
      <c r="BC1225" s="247" t="s">
        <v>2576</v>
      </c>
      <c r="BD1225" s="247"/>
      <c r="BE1225" s="247"/>
      <c r="BF1225" s="247"/>
      <c r="BG1225" s="247"/>
      <c r="BH1225" s="247"/>
      <c r="BI1225" s="247"/>
      <c r="BJ1225" s="247"/>
      <c r="BK1225" s="247"/>
      <c r="BL1225" s="247"/>
      <c r="BM1225" s="247"/>
      <c r="BN1225" s="247"/>
      <c r="BO1225" s="247"/>
      <c r="BP1225" s="248"/>
    </row>
    <row r="1226" spans="1:68" ht="14.25" customHeight="1">
      <c r="A1226" s="233">
        <v>569</v>
      </c>
      <c r="B1226" s="234">
        <v>338</v>
      </c>
      <c r="C1226" s="244" t="s">
        <v>928</v>
      </c>
      <c r="D1226" s="244" t="s">
        <v>1161</v>
      </c>
      <c r="E1226" s="244" t="s">
        <v>2578</v>
      </c>
      <c r="F1226" s="245">
        <v>-26.4</v>
      </c>
      <c r="G1226" s="245">
        <v>-26.4</v>
      </c>
      <c r="H1226" s="245">
        <v>-19.2</v>
      </c>
      <c r="I1226" s="245">
        <v>-10.3</v>
      </c>
      <c r="J1226" s="245">
        <v>-2.6</v>
      </c>
      <c r="K1226" s="245">
        <v>8.4</v>
      </c>
      <c r="L1226" s="245">
        <v>15.4</v>
      </c>
      <c r="M1226" s="245">
        <v>11.3</v>
      </c>
      <c r="N1226" s="245">
        <v>5.2</v>
      </c>
      <c r="O1226" s="245">
        <v>-6.3</v>
      </c>
      <c r="P1226" s="245">
        <v>-18.2</v>
      </c>
      <c r="Q1226" s="245">
        <v>-24</v>
      </c>
      <c r="R1226" s="246">
        <v>-7.8</v>
      </c>
      <c r="S1226" s="233">
        <v>338</v>
      </c>
      <c r="T1226" s="247" t="s">
        <v>2579</v>
      </c>
      <c r="U1226" s="245">
        <v>-53</v>
      </c>
      <c r="V1226" s="245">
        <v>-50</v>
      </c>
      <c r="W1226" s="245">
        <v>-49</v>
      </c>
      <c r="X1226" s="245">
        <v>-46</v>
      </c>
      <c r="Y1226" s="245">
        <v>-31</v>
      </c>
      <c r="Z1226" s="245">
        <v>-56</v>
      </c>
      <c r="AA1226" s="245">
        <v>9.9</v>
      </c>
      <c r="AB1226" s="245">
        <v>236</v>
      </c>
      <c r="AC1226" s="245">
        <v>-16.8</v>
      </c>
      <c r="AD1226" s="245">
        <v>286</v>
      </c>
      <c r="AE1226" s="245">
        <v>-13.1</v>
      </c>
      <c r="AF1226" s="245">
        <v>304</v>
      </c>
      <c r="AG1226" s="245">
        <v>-11.8</v>
      </c>
      <c r="AH1226" s="245">
        <v>78</v>
      </c>
      <c r="AI1226" s="245">
        <v>78</v>
      </c>
      <c r="AJ1226" s="245">
        <v>117</v>
      </c>
      <c r="AK1226" s="245" t="s">
        <v>971</v>
      </c>
      <c r="AL1226" s="245" t="s">
        <v>931</v>
      </c>
      <c r="AM1226" s="246" t="s">
        <v>931</v>
      </c>
      <c r="AN1226" s="235">
        <v>338</v>
      </c>
      <c r="AO1226" s="247" t="s">
        <v>2580</v>
      </c>
      <c r="AP1226" s="247">
        <v>1010</v>
      </c>
      <c r="AQ1226" s="247">
        <v>18.3</v>
      </c>
      <c r="AR1226" s="247">
        <v>22.7</v>
      </c>
      <c r="AS1226" s="247">
        <v>20.7</v>
      </c>
      <c r="AT1226" s="247">
        <v>34</v>
      </c>
      <c r="AU1226" s="247">
        <v>10.4</v>
      </c>
      <c r="AV1226" s="247">
        <v>69</v>
      </c>
      <c r="AW1226" s="247">
        <v>56</v>
      </c>
      <c r="AX1226" s="247">
        <v>397</v>
      </c>
      <c r="AY1226" s="247" t="s">
        <v>965</v>
      </c>
      <c r="AZ1226" s="247" t="s">
        <v>1005</v>
      </c>
      <c r="BA1226" s="248" t="s">
        <v>934</v>
      </c>
      <c r="BB1226" s="235">
        <v>306</v>
      </c>
      <c r="BC1226" s="247" t="s">
        <v>2578</v>
      </c>
      <c r="BD1226" s="247">
        <v>0.8</v>
      </c>
      <c r="BE1226" s="247">
        <v>0.8</v>
      </c>
      <c r="BF1226" s="247">
        <v>1.4</v>
      </c>
      <c r="BG1226" s="247">
        <v>2.5</v>
      </c>
      <c r="BH1226" s="247">
        <v>4</v>
      </c>
      <c r="BI1226" s="247">
        <v>7.8</v>
      </c>
      <c r="BJ1226" s="247">
        <v>11.8</v>
      </c>
      <c r="BK1226" s="247">
        <v>10.4</v>
      </c>
      <c r="BL1226" s="247">
        <v>7.5</v>
      </c>
      <c r="BM1226" s="247">
        <v>3.7</v>
      </c>
      <c r="BN1226" s="247">
        <v>1.7</v>
      </c>
      <c r="BO1226" s="247">
        <v>1.1000000000000001</v>
      </c>
      <c r="BP1226" s="248">
        <v>4.5</v>
      </c>
    </row>
    <row r="1227" spans="1:68" ht="14.25" customHeight="1">
      <c r="A1227" s="233">
        <v>570</v>
      </c>
      <c r="B1227" s="234">
        <v>128</v>
      </c>
      <c r="C1227" s="244" t="s">
        <v>928</v>
      </c>
      <c r="D1227" s="244" t="s">
        <v>1023</v>
      </c>
      <c r="E1227" s="244" t="s">
        <v>2581</v>
      </c>
      <c r="F1227" s="245">
        <v>-16.8</v>
      </c>
      <c r="G1227" s="245">
        <v>-16.8</v>
      </c>
      <c r="H1227" s="245">
        <v>-13.3</v>
      </c>
      <c r="I1227" s="245">
        <v>-5.8</v>
      </c>
      <c r="J1227" s="245">
        <v>1.3</v>
      </c>
      <c r="K1227" s="245">
        <v>6.4</v>
      </c>
      <c r="L1227" s="245">
        <v>10</v>
      </c>
      <c r="M1227" s="245">
        <v>10.5</v>
      </c>
      <c r="N1227" s="245">
        <v>7.1</v>
      </c>
      <c r="O1227" s="245">
        <v>0.5</v>
      </c>
      <c r="P1227" s="245">
        <v>-7.7</v>
      </c>
      <c r="Q1227" s="245">
        <v>-13.7</v>
      </c>
      <c r="R1227" s="246">
        <v>-3.2</v>
      </c>
      <c r="S1227" s="233">
        <v>128</v>
      </c>
      <c r="T1227" s="247" t="s">
        <v>2582</v>
      </c>
      <c r="U1227" s="245">
        <v>-42</v>
      </c>
      <c r="V1227" s="245">
        <v>-38</v>
      </c>
      <c r="W1227" s="245">
        <v>-37</v>
      </c>
      <c r="X1227" s="245">
        <v>-35</v>
      </c>
      <c r="Y1227" s="245">
        <v>-22</v>
      </c>
      <c r="Z1227" s="245">
        <v>-45</v>
      </c>
      <c r="AA1227" s="245">
        <v>10.1</v>
      </c>
      <c r="AB1227" s="245">
        <v>205</v>
      </c>
      <c r="AC1227" s="245">
        <v>-10.8</v>
      </c>
      <c r="AD1227" s="245">
        <v>295</v>
      </c>
      <c r="AE1227" s="245">
        <v>-6.2</v>
      </c>
      <c r="AF1227" s="245">
        <v>326</v>
      </c>
      <c r="AG1227" s="245">
        <v>-5</v>
      </c>
      <c r="AH1227" s="245">
        <v>83</v>
      </c>
      <c r="AI1227" s="245">
        <v>83</v>
      </c>
      <c r="AJ1227" s="245">
        <v>224</v>
      </c>
      <c r="AK1227" s="245" t="s">
        <v>990</v>
      </c>
      <c r="AL1227" s="245">
        <v>9.1</v>
      </c>
      <c r="AM1227" s="246" t="s">
        <v>931</v>
      </c>
      <c r="AN1227" s="235">
        <v>128</v>
      </c>
      <c r="AO1227" s="247" t="s">
        <v>2583</v>
      </c>
      <c r="AP1227" s="247">
        <v>1010</v>
      </c>
      <c r="AQ1227" s="247">
        <v>11.3</v>
      </c>
      <c r="AR1227" s="247">
        <v>16</v>
      </c>
      <c r="AS1227" s="247">
        <v>13.7</v>
      </c>
      <c r="AT1227" s="247">
        <v>29</v>
      </c>
      <c r="AU1227" s="247">
        <v>6.4</v>
      </c>
      <c r="AV1227" s="247">
        <v>90</v>
      </c>
      <c r="AW1227" s="247">
        <v>85</v>
      </c>
      <c r="AX1227" s="247">
        <v>421</v>
      </c>
      <c r="AY1227" s="247">
        <v>65</v>
      </c>
      <c r="AZ1227" s="247" t="s">
        <v>1005</v>
      </c>
      <c r="BA1227" s="248">
        <v>4.2</v>
      </c>
      <c r="BB1227" s="235">
        <v>111</v>
      </c>
      <c r="BC1227" s="247" t="s">
        <v>2581</v>
      </c>
      <c r="BD1227" s="247">
        <v>1.8</v>
      </c>
      <c r="BE1227" s="247">
        <v>1.7</v>
      </c>
      <c r="BF1227" s="247">
        <v>2.1</v>
      </c>
      <c r="BG1227" s="247">
        <v>3.5</v>
      </c>
      <c r="BH1227" s="247">
        <v>5.6</v>
      </c>
      <c r="BI1227" s="247">
        <v>8.3000000000000007</v>
      </c>
      <c r="BJ1227" s="247">
        <v>10.9</v>
      </c>
      <c r="BK1227" s="247">
        <v>11.4</v>
      </c>
      <c r="BL1227" s="247">
        <v>8.8000000000000007</v>
      </c>
      <c r="BM1227" s="247">
        <v>5.4</v>
      </c>
      <c r="BN1227" s="247">
        <v>3.2</v>
      </c>
      <c r="BO1227" s="247">
        <v>2.2000000000000002</v>
      </c>
      <c r="BP1227" s="248">
        <v>5.4</v>
      </c>
    </row>
    <row r="1228" spans="1:68" ht="14.25" customHeight="1">
      <c r="A1228" s="233">
        <v>571</v>
      </c>
      <c r="B1228" s="234">
        <v>146</v>
      </c>
      <c r="C1228" s="244" t="s">
        <v>928</v>
      </c>
      <c r="D1228" s="244" t="s">
        <v>1677</v>
      </c>
      <c r="E1228" s="244" t="s">
        <v>2584</v>
      </c>
      <c r="F1228" s="245">
        <v>-22.1</v>
      </c>
      <c r="G1228" s="245">
        <v>-18</v>
      </c>
      <c r="H1228" s="245">
        <v>-10</v>
      </c>
      <c r="I1228" s="245">
        <v>-0.4</v>
      </c>
      <c r="J1228" s="245">
        <v>8.1</v>
      </c>
      <c r="K1228" s="245">
        <v>14.6</v>
      </c>
      <c r="L1228" s="245">
        <v>16.899999999999999</v>
      </c>
      <c r="M1228" s="245">
        <v>14.5</v>
      </c>
      <c r="N1228" s="245">
        <v>8.4</v>
      </c>
      <c r="O1228" s="245">
        <v>0.4</v>
      </c>
      <c r="P1228" s="245">
        <v>-10.5</v>
      </c>
      <c r="Q1228" s="245">
        <v>-19</v>
      </c>
      <c r="R1228" s="246">
        <v>-1.4</v>
      </c>
      <c r="S1228" s="233">
        <v>146</v>
      </c>
      <c r="T1228" s="247" t="s">
        <v>2585</v>
      </c>
      <c r="U1228" s="245">
        <v>-46</v>
      </c>
      <c r="V1228" s="245">
        <v>-44</v>
      </c>
      <c r="W1228" s="245">
        <v>-43</v>
      </c>
      <c r="X1228" s="245">
        <v>-41</v>
      </c>
      <c r="Y1228" s="245">
        <v>-27</v>
      </c>
      <c r="Z1228" s="245">
        <v>-54</v>
      </c>
      <c r="AA1228" s="245">
        <v>13.8</v>
      </c>
      <c r="AB1228" s="245">
        <v>182</v>
      </c>
      <c r="AC1228" s="245">
        <v>-13.2</v>
      </c>
      <c r="AD1228" s="245">
        <v>241</v>
      </c>
      <c r="AE1228" s="245">
        <v>-9</v>
      </c>
      <c r="AF1228" s="245">
        <v>259</v>
      </c>
      <c r="AG1228" s="245">
        <v>-7.7</v>
      </c>
      <c r="AH1228" s="245">
        <v>80</v>
      </c>
      <c r="AI1228" s="245">
        <v>73</v>
      </c>
      <c r="AJ1228" s="245">
        <v>243</v>
      </c>
      <c r="AK1228" s="245" t="s">
        <v>950</v>
      </c>
      <c r="AL1228" s="245" t="s">
        <v>931</v>
      </c>
      <c r="AM1228" s="246" t="s">
        <v>931</v>
      </c>
      <c r="AN1228" s="235">
        <v>146</v>
      </c>
      <c r="AO1228" s="247" t="s">
        <v>2586</v>
      </c>
      <c r="AP1228" s="247">
        <v>965</v>
      </c>
      <c r="AQ1228" s="247">
        <v>22.2</v>
      </c>
      <c r="AR1228" s="247">
        <v>26.4</v>
      </c>
      <c r="AS1228" s="247">
        <v>24.6</v>
      </c>
      <c r="AT1228" s="247">
        <v>37</v>
      </c>
      <c r="AU1228" s="247">
        <v>14.1</v>
      </c>
      <c r="AV1228" s="247">
        <v>78</v>
      </c>
      <c r="AW1228" s="247">
        <v>56</v>
      </c>
      <c r="AX1228" s="247">
        <v>621</v>
      </c>
      <c r="AY1228" s="247" t="s">
        <v>965</v>
      </c>
      <c r="AZ1228" s="247" t="s">
        <v>952</v>
      </c>
      <c r="BA1228" s="248" t="s">
        <v>934</v>
      </c>
      <c r="BB1228" s="235"/>
      <c r="BC1228" s="247" t="s">
        <v>2584</v>
      </c>
      <c r="BD1228" s="247"/>
      <c r="BE1228" s="247"/>
      <c r="BF1228" s="247"/>
      <c r="BG1228" s="247"/>
      <c r="BH1228" s="247"/>
      <c r="BI1228" s="247"/>
      <c r="BJ1228" s="247"/>
      <c r="BK1228" s="247"/>
      <c r="BL1228" s="247"/>
      <c r="BM1228" s="247"/>
      <c r="BN1228" s="247"/>
      <c r="BO1228" s="247"/>
      <c r="BP1228" s="248"/>
    </row>
    <row r="1229" spans="1:68" ht="14.25" customHeight="1">
      <c r="A1229" s="233">
        <v>572</v>
      </c>
      <c r="B1229" s="234">
        <v>510</v>
      </c>
      <c r="C1229" s="244" t="s">
        <v>960</v>
      </c>
      <c r="D1229" s="244" t="s">
        <v>1523</v>
      </c>
      <c r="E1229" s="244" t="s">
        <v>2587</v>
      </c>
      <c r="F1229" s="245">
        <v>-16.5</v>
      </c>
      <c r="G1229" s="245">
        <v>-16</v>
      </c>
      <c r="H1229" s="245">
        <v>-7.8</v>
      </c>
      <c r="I1229" s="245">
        <v>4.8</v>
      </c>
      <c r="J1229" s="245">
        <v>13.4</v>
      </c>
      <c r="K1229" s="245">
        <v>18.7</v>
      </c>
      <c r="L1229" s="245">
        <v>20.7</v>
      </c>
      <c r="M1229" s="245">
        <v>18.3</v>
      </c>
      <c r="N1229" s="245">
        <v>12.4</v>
      </c>
      <c r="O1229" s="245">
        <v>5</v>
      </c>
      <c r="P1229" s="245">
        <v>-6.1</v>
      </c>
      <c r="Q1229" s="245">
        <v>-13.8</v>
      </c>
      <c r="R1229" s="246">
        <v>2.8</v>
      </c>
      <c r="S1229" s="233">
        <v>510</v>
      </c>
      <c r="T1229" s="247" t="s">
        <v>2587</v>
      </c>
      <c r="U1229" s="245">
        <v>-46</v>
      </c>
      <c r="V1229" s="245">
        <v>-44</v>
      </c>
      <c r="W1229" s="245">
        <v>-42</v>
      </c>
      <c r="X1229" s="245">
        <v>-39</v>
      </c>
      <c r="Y1229" s="245" t="s">
        <v>956</v>
      </c>
      <c r="Z1229" s="245">
        <v>-49</v>
      </c>
      <c r="AA1229" s="245">
        <v>11.3</v>
      </c>
      <c r="AB1229" s="245">
        <v>154</v>
      </c>
      <c r="AC1229" s="245">
        <v>-11.8</v>
      </c>
      <c r="AD1229" s="245">
        <v>204</v>
      </c>
      <c r="AE1229" s="245">
        <v>-7.8</v>
      </c>
      <c r="AF1229" s="245">
        <v>219</v>
      </c>
      <c r="AG1229" s="245">
        <v>-6.6</v>
      </c>
      <c r="AH1229" s="245">
        <v>75</v>
      </c>
      <c r="AI1229" s="245" t="s">
        <v>956</v>
      </c>
      <c r="AJ1229" s="245">
        <v>166</v>
      </c>
      <c r="AK1229" s="245" t="s">
        <v>990</v>
      </c>
      <c r="AL1229" s="245">
        <v>5</v>
      </c>
      <c r="AM1229" s="246">
        <v>2.4</v>
      </c>
      <c r="AN1229" s="235">
        <v>510</v>
      </c>
      <c r="AO1229" s="247" t="s">
        <v>2588</v>
      </c>
      <c r="AP1229" s="247" t="s">
        <v>965</v>
      </c>
      <c r="AQ1229" s="247" t="s">
        <v>958</v>
      </c>
      <c r="AR1229" s="247" t="s">
        <v>931</v>
      </c>
      <c r="AS1229" s="247">
        <v>28.2</v>
      </c>
      <c r="AT1229" s="247">
        <v>43</v>
      </c>
      <c r="AU1229" s="247">
        <v>14.6</v>
      </c>
      <c r="AV1229" s="247">
        <v>64</v>
      </c>
      <c r="AW1229" s="247" t="s">
        <v>931</v>
      </c>
      <c r="AX1229" s="247">
        <v>332</v>
      </c>
      <c r="AY1229" s="247" t="s">
        <v>965</v>
      </c>
      <c r="AZ1229" s="247" t="s">
        <v>959</v>
      </c>
      <c r="BA1229" s="248">
        <v>3.5</v>
      </c>
      <c r="BB1229" s="235"/>
      <c r="BC1229" s="247" t="s">
        <v>2587</v>
      </c>
      <c r="BD1229" s="247"/>
      <c r="BE1229" s="247"/>
      <c r="BF1229" s="247"/>
      <c r="BG1229" s="247"/>
      <c r="BH1229" s="247"/>
      <c r="BI1229" s="247"/>
      <c r="BJ1229" s="247"/>
      <c r="BK1229" s="247"/>
      <c r="BL1229" s="247"/>
      <c r="BM1229" s="247"/>
      <c r="BN1229" s="247"/>
      <c r="BO1229" s="247"/>
      <c r="BP1229" s="248"/>
    </row>
    <row r="1230" spans="1:68" ht="14.25" customHeight="1">
      <c r="A1230" s="233">
        <v>573</v>
      </c>
      <c r="B1230" s="234">
        <v>129</v>
      </c>
      <c r="C1230" s="244" t="s">
        <v>928</v>
      </c>
      <c r="D1230" s="244" t="s">
        <v>1023</v>
      </c>
      <c r="E1230" s="244" t="s">
        <v>2589</v>
      </c>
      <c r="F1230" s="245">
        <v>-11.4</v>
      </c>
      <c r="G1230" s="245">
        <v>-11.2</v>
      </c>
      <c r="H1230" s="245">
        <v>-9</v>
      </c>
      <c r="I1230" s="245">
        <v>-3.6</v>
      </c>
      <c r="J1230" s="245">
        <v>1.6</v>
      </c>
      <c r="K1230" s="245">
        <v>6.8</v>
      </c>
      <c r="L1230" s="245">
        <v>11.2</v>
      </c>
      <c r="M1230" s="245">
        <v>12.2</v>
      </c>
      <c r="N1230" s="245">
        <v>9</v>
      </c>
      <c r="O1230" s="245">
        <v>2.6</v>
      </c>
      <c r="P1230" s="245">
        <v>-4.7</v>
      </c>
      <c r="Q1230" s="245">
        <v>-9.6999999999999993</v>
      </c>
      <c r="R1230" s="246">
        <v>-0.5</v>
      </c>
      <c r="S1230" s="233">
        <v>129</v>
      </c>
      <c r="T1230" s="247" t="s">
        <v>2590</v>
      </c>
      <c r="U1230" s="245">
        <v>-37</v>
      </c>
      <c r="V1230" s="245">
        <v>-33</v>
      </c>
      <c r="W1230" s="245">
        <v>-30</v>
      </c>
      <c r="X1230" s="245">
        <v>-28</v>
      </c>
      <c r="Y1230" s="245">
        <v>-16</v>
      </c>
      <c r="Z1230" s="245">
        <v>-42</v>
      </c>
      <c r="AA1230" s="245">
        <v>8.3000000000000007</v>
      </c>
      <c r="AB1230" s="245">
        <v>192</v>
      </c>
      <c r="AC1230" s="245">
        <v>-7.6</v>
      </c>
      <c r="AD1230" s="245">
        <v>277</v>
      </c>
      <c r="AE1230" s="245">
        <v>-4</v>
      </c>
      <c r="AF1230" s="245">
        <v>305</v>
      </c>
      <c r="AG1230" s="245">
        <v>-2.8</v>
      </c>
      <c r="AH1230" s="245">
        <v>81</v>
      </c>
      <c r="AI1230" s="245">
        <v>80</v>
      </c>
      <c r="AJ1230" s="245">
        <v>664</v>
      </c>
      <c r="AK1230" s="245" t="s">
        <v>944</v>
      </c>
      <c r="AL1230" s="245">
        <v>7.1</v>
      </c>
      <c r="AM1230" s="246">
        <v>4.9000000000000004</v>
      </c>
      <c r="AN1230" s="235">
        <v>129</v>
      </c>
      <c r="AO1230" s="247" t="s">
        <v>2591</v>
      </c>
      <c r="AP1230" s="247">
        <v>1010</v>
      </c>
      <c r="AQ1230" s="247">
        <v>13.2</v>
      </c>
      <c r="AR1230" s="247">
        <v>18</v>
      </c>
      <c r="AS1230" s="247">
        <v>15.6</v>
      </c>
      <c r="AT1230" s="247">
        <v>30</v>
      </c>
      <c r="AU1230" s="247">
        <v>6</v>
      </c>
      <c r="AV1230" s="247">
        <v>86</v>
      </c>
      <c r="AW1230" s="247">
        <v>77</v>
      </c>
      <c r="AX1230" s="247">
        <v>386</v>
      </c>
      <c r="AY1230" s="247">
        <v>58</v>
      </c>
      <c r="AZ1230" s="247" t="s">
        <v>973</v>
      </c>
      <c r="BA1230" s="248">
        <v>0</v>
      </c>
      <c r="BB1230" s="235">
        <v>112</v>
      </c>
      <c r="BC1230" s="247" t="s">
        <v>2589</v>
      </c>
      <c r="BD1230" s="247">
        <v>2.6</v>
      </c>
      <c r="BE1230" s="247">
        <v>2.6</v>
      </c>
      <c r="BF1230" s="247">
        <v>2.8</v>
      </c>
      <c r="BG1230" s="247">
        <v>4</v>
      </c>
      <c r="BH1230" s="247">
        <v>5.9</v>
      </c>
      <c r="BI1230" s="247">
        <v>8.5</v>
      </c>
      <c r="BJ1230" s="247">
        <v>11.6</v>
      </c>
      <c r="BK1230" s="247">
        <v>12.2</v>
      </c>
      <c r="BL1230" s="247">
        <v>9.6</v>
      </c>
      <c r="BM1230" s="247">
        <v>5.7</v>
      </c>
      <c r="BN1230" s="247">
        <v>3.5</v>
      </c>
      <c r="BO1230" s="247">
        <v>2.8</v>
      </c>
      <c r="BP1230" s="248">
        <v>6</v>
      </c>
    </row>
    <row r="1231" spans="1:68" ht="14.25" customHeight="1">
      <c r="A1231" s="233">
        <v>574</v>
      </c>
      <c r="B1231" s="234">
        <v>442</v>
      </c>
      <c r="C1231" s="244" t="s">
        <v>928</v>
      </c>
      <c r="D1231" s="244" t="s">
        <v>969</v>
      </c>
      <c r="E1231" s="244" t="s">
        <v>2592</v>
      </c>
      <c r="F1231" s="245">
        <v>-42.2</v>
      </c>
      <c r="G1231" s="245">
        <v>-36</v>
      </c>
      <c r="H1231" s="245">
        <v>-21.5</v>
      </c>
      <c r="I1231" s="245">
        <v>-6</v>
      </c>
      <c r="J1231" s="245">
        <v>6</v>
      </c>
      <c r="K1231" s="245">
        <v>14.4</v>
      </c>
      <c r="L1231" s="245">
        <v>18</v>
      </c>
      <c r="M1231" s="245">
        <v>14.5</v>
      </c>
      <c r="N1231" s="245">
        <v>6.3</v>
      </c>
      <c r="O1231" s="245">
        <v>-7.1</v>
      </c>
      <c r="P1231" s="245">
        <v>-27.2</v>
      </c>
      <c r="Q1231" s="245">
        <v>-39.5</v>
      </c>
      <c r="R1231" s="246">
        <v>-10</v>
      </c>
      <c r="S1231" s="233">
        <v>442</v>
      </c>
      <c r="T1231" s="247" t="s">
        <v>2592</v>
      </c>
      <c r="U1231" s="245">
        <v>-58</v>
      </c>
      <c r="V1231" s="245">
        <v>-56</v>
      </c>
      <c r="W1231" s="245">
        <v>-57</v>
      </c>
      <c r="X1231" s="245">
        <v>-54</v>
      </c>
      <c r="Y1231" s="245">
        <v>-47</v>
      </c>
      <c r="Z1231" s="245">
        <v>-60</v>
      </c>
      <c r="AA1231" s="245">
        <v>8.8000000000000007</v>
      </c>
      <c r="AB1231" s="245">
        <v>213</v>
      </c>
      <c r="AC1231" s="245">
        <v>-25</v>
      </c>
      <c r="AD1231" s="245">
        <v>256</v>
      </c>
      <c r="AE1231" s="245">
        <v>-20.100000000000001</v>
      </c>
      <c r="AF1231" s="245">
        <v>271</v>
      </c>
      <c r="AG1231" s="245">
        <v>-18.5</v>
      </c>
      <c r="AH1231" s="245">
        <v>73</v>
      </c>
      <c r="AI1231" s="245">
        <v>73</v>
      </c>
      <c r="AJ1231" s="245">
        <v>65</v>
      </c>
      <c r="AK1231" s="245" t="s">
        <v>996</v>
      </c>
      <c r="AL1231" s="245">
        <v>2.2000000000000002</v>
      </c>
      <c r="AM1231" s="246">
        <v>1.5</v>
      </c>
      <c r="AN1231" s="235">
        <v>442</v>
      </c>
      <c r="AO1231" s="247" t="s">
        <v>2593</v>
      </c>
      <c r="AP1231" s="247">
        <v>990</v>
      </c>
      <c r="AQ1231" s="247">
        <v>21.3</v>
      </c>
      <c r="AR1231" s="247">
        <v>25.9</v>
      </c>
      <c r="AS1231" s="247">
        <v>24.6</v>
      </c>
      <c r="AT1231" s="247">
        <v>36</v>
      </c>
      <c r="AU1231" s="247">
        <v>13.7</v>
      </c>
      <c r="AV1231" s="247">
        <v>67</v>
      </c>
      <c r="AW1231" s="247">
        <v>51</v>
      </c>
      <c r="AX1231" s="247">
        <v>237</v>
      </c>
      <c r="AY1231" s="247">
        <v>55</v>
      </c>
      <c r="AZ1231" s="247" t="s">
        <v>973</v>
      </c>
      <c r="BA1231" s="248">
        <v>0</v>
      </c>
      <c r="BB1231" s="235">
        <v>404</v>
      </c>
      <c r="BC1231" s="247" t="s">
        <v>2592</v>
      </c>
      <c r="BD1231" s="247">
        <v>0.2</v>
      </c>
      <c r="BE1231" s="247">
        <v>0.3</v>
      </c>
      <c r="BF1231" s="247">
        <v>0.9</v>
      </c>
      <c r="BG1231" s="247">
        <v>2.5</v>
      </c>
      <c r="BH1231" s="247">
        <v>5.0999999999999996</v>
      </c>
      <c r="BI1231" s="247">
        <v>9.8000000000000007</v>
      </c>
      <c r="BJ1231" s="247">
        <v>13.4</v>
      </c>
      <c r="BK1231" s="247">
        <v>11.9</v>
      </c>
      <c r="BL1231" s="247">
        <v>7</v>
      </c>
      <c r="BM1231" s="247">
        <v>3</v>
      </c>
      <c r="BN1231" s="247">
        <v>0.7</v>
      </c>
      <c r="BO1231" s="247">
        <v>0.2</v>
      </c>
      <c r="BP1231" s="248">
        <v>4.5999999999999996</v>
      </c>
    </row>
    <row r="1232" spans="1:68" ht="14.25" customHeight="1">
      <c r="A1232" s="233">
        <v>575</v>
      </c>
      <c r="B1232" s="234">
        <v>443</v>
      </c>
      <c r="C1232" s="244" t="s">
        <v>928</v>
      </c>
      <c r="D1232" s="244" t="s">
        <v>969</v>
      </c>
      <c r="E1232" s="244" t="s">
        <v>2594</v>
      </c>
      <c r="F1232" s="245">
        <v>-39.6</v>
      </c>
      <c r="G1232" s="245">
        <v>-34.200000000000003</v>
      </c>
      <c r="H1232" s="245">
        <v>-21</v>
      </c>
      <c r="I1232" s="245">
        <v>-5.2</v>
      </c>
      <c r="J1232" s="245">
        <v>6.1</v>
      </c>
      <c r="K1232" s="245">
        <v>13.9</v>
      </c>
      <c r="L1232" s="245">
        <v>17.2</v>
      </c>
      <c r="M1232" s="245">
        <v>13.9</v>
      </c>
      <c r="N1232" s="245">
        <v>5.5</v>
      </c>
      <c r="O1232" s="245">
        <v>-7.3</v>
      </c>
      <c r="P1232" s="245">
        <v>-27</v>
      </c>
      <c r="Q1232" s="245">
        <v>-37.700000000000003</v>
      </c>
      <c r="R1232" s="246">
        <v>-9.6</v>
      </c>
      <c r="S1232" s="233">
        <v>443</v>
      </c>
      <c r="T1232" s="247" t="s">
        <v>2594</v>
      </c>
      <c r="U1232" s="245">
        <v>-55</v>
      </c>
      <c r="V1232" s="245">
        <v>-54</v>
      </c>
      <c r="W1232" s="245">
        <v>-54</v>
      </c>
      <c r="X1232" s="245">
        <v>-51</v>
      </c>
      <c r="Y1232" s="245">
        <v>-45</v>
      </c>
      <c r="Z1232" s="245">
        <v>-59</v>
      </c>
      <c r="AA1232" s="245">
        <v>10.4</v>
      </c>
      <c r="AB1232" s="245">
        <v>213</v>
      </c>
      <c r="AC1232" s="245">
        <v>-24</v>
      </c>
      <c r="AD1232" s="245">
        <v>259</v>
      </c>
      <c r="AE1232" s="245">
        <v>-18.899999999999999</v>
      </c>
      <c r="AF1232" s="245">
        <v>274</v>
      </c>
      <c r="AG1232" s="245">
        <v>-17.399999999999999</v>
      </c>
      <c r="AH1232" s="245">
        <v>75</v>
      </c>
      <c r="AI1232" s="245">
        <v>74</v>
      </c>
      <c r="AJ1232" s="245">
        <v>68</v>
      </c>
      <c r="AK1232" s="245" t="s">
        <v>982</v>
      </c>
      <c r="AL1232" s="245" t="s">
        <v>931</v>
      </c>
      <c r="AM1232" s="246">
        <v>1.1000000000000001</v>
      </c>
      <c r="AN1232" s="235">
        <v>443</v>
      </c>
      <c r="AO1232" s="247" t="s">
        <v>2595</v>
      </c>
      <c r="AP1232" s="247">
        <v>985</v>
      </c>
      <c r="AQ1232" s="247">
        <v>22.6</v>
      </c>
      <c r="AR1232" s="247">
        <v>26.8</v>
      </c>
      <c r="AS1232" s="247">
        <v>25</v>
      </c>
      <c r="AT1232" s="247">
        <v>38</v>
      </c>
      <c r="AU1232" s="247">
        <v>16.399999999999999</v>
      </c>
      <c r="AV1232" s="247">
        <v>73</v>
      </c>
      <c r="AW1232" s="247">
        <v>56</v>
      </c>
      <c r="AX1232" s="247">
        <v>257</v>
      </c>
      <c r="AY1232" s="247" t="s">
        <v>965</v>
      </c>
      <c r="AZ1232" s="247" t="s">
        <v>1038</v>
      </c>
      <c r="BA1232" s="248" t="s">
        <v>934</v>
      </c>
      <c r="BB1232" s="235">
        <v>405</v>
      </c>
      <c r="BC1232" s="247" t="s">
        <v>2594</v>
      </c>
      <c r="BD1232" s="247">
        <v>0.2</v>
      </c>
      <c r="BE1232" s="247">
        <v>0.3</v>
      </c>
      <c r="BF1232" s="247">
        <v>1.2</v>
      </c>
      <c r="BG1232" s="247">
        <v>2.6</v>
      </c>
      <c r="BH1232" s="247">
        <v>5.4</v>
      </c>
      <c r="BI1232" s="247">
        <v>10.1</v>
      </c>
      <c r="BJ1232" s="247">
        <v>13.9</v>
      </c>
      <c r="BK1232" s="247">
        <v>12.4</v>
      </c>
      <c r="BL1232" s="247">
        <v>7</v>
      </c>
      <c r="BM1232" s="247">
        <v>3</v>
      </c>
      <c r="BN1232" s="247">
        <v>0.8</v>
      </c>
      <c r="BO1232" s="247">
        <v>0.3</v>
      </c>
      <c r="BP1232" s="248">
        <v>4.8</v>
      </c>
    </row>
    <row r="1233" spans="1:68" ht="14.25" customHeight="1">
      <c r="A1233" s="233">
        <v>576</v>
      </c>
      <c r="B1233" s="234">
        <v>444</v>
      </c>
      <c r="C1233" s="244" t="s">
        <v>928</v>
      </c>
      <c r="D1233" s="244" t="s">
        <v>969</v>
      </c>
      <c r="E1233" s="244" t="s">
        <v>2596</v>
      </c>
      <c r="F1233" s="245">
        <v>-44.9</v>
      </c>
      <c r="G1233" s="245">
        <v>-41</v>
      </c>
      <c r="H1233" s="245">
        <v>-29</v>
      </c>
      <c r="I1233" s="245">
        <v>-13.2</v>
      </c>
      <c r="J1233" s="245">
        <v>3.1</v>
      </c>
      <c r="K1233" s="245">
        <v>12.9</v>
      </c>
      <c r="L1233" s="245">
        <v>14.8</v>
      </c>
      <c r="M1233" s="245">
        <v>11.1</v>
      </c>
      <c r="N1233" s="245">
        <v>2.5</v>
      </c>
      <c r="O1233" s="245">
        <v>-15</v>
      </c>
      <c r="P1233" s="245">
        <v>-34.9</v>
      </c>
      <c r="Q1233" s="245">
        <v>-43</v>
      </c>
      <c r="R1233" s="246">
        <v>-14.7</v>
      </c>
      <c r="S1233" s="233">
        <v>444</v>
      </c>
      <c r="T1233" s="247" t="s">
        <v>2596</v>
      </c>
      <c r="U1233" s="245">
        <v>-62</v>
      </c>
      <c r="V1233" s="245">
        <v>-60</v>
      </c>
      <c r="W1233" s="245">
        <v>-59</v>
      </c>
      <c r="X1233" s="245">
        <v>-58</v>
      </c>
      <c r="Y1233" s="245">
        <v>-50</v>
      </c>
      <c r="Z1233" s="245">
        <v>-62</v>
      </c>
      <c r="AA1233" s="245">
        <v>9.3000000000000007</v>
      </c>
      <c r="AB1233" s="245">
        <v>232</v>
      </c>
      <c r="AC1233" s="245">
        <v>-23.4</v>
      </c>
      <c r="AD1233" s="245">
        <v>277</v>
      </c>
      <c r="AE1233" s="245">
        <v>-23.1</v>
      </c>
      <c r="AF1233" s="245">
        <v>291</v>
      </c>
      <c r="AG1233" s="245">
        <v>-21.6</v>
      </c>
      <c r="AH1233" s="245">
        <v>76</v>
      </c>
      <c r="AI1233" s="245">
        <v>76</v>
      </c>
      <c r="AJ1233" s="245">
        <v>46</v>
      </c>
      <c r="AK1233" s="245" t="s">
        <v>990</v>
      </c>
      <c r="AL1233" s="245">
        <v>3.8</v>
      </c>
      <c r="AM1233" s="246">
        <v>1</v>
      </c>
      <c r="AN1233" s="235">
        <v>444</v>
      </c>
      <c r="AO1233" s="247" t="s">
        <v>2597</v>
      </c>
      <c r="AP1233" s="247">
        <v>985</v>
      </c>
      <c r="AQ1233" s="247">
        <v>19.399999999999999</v>
      </c>
      <c r="AR1233" s="247">
        <v>23.7</v>
      </c>
      <c r="AS1233" s="247">
        <v>21.8</v>
      </c>
      <c r="AT1233" s="247">
        <v>36</v>
      </c>
      <c r="AU1233" s="247">
        <v>14.3</v>
      </c>
      <c r="AV1233" s="247">
        <v>66</v>
      </c>
      <c r="AW1233" s="247">
        <v>53</v>
      </c>
      <c r="AX1233" s="247">
        <v>166</v>
      </c>
      <c r="AY1233" s="247">
        <v>37</v>
      </c>
      <c r="AZ1233" s="247" t="s">
        <v>959</v>
      </c>
      <c r="BA1233" s="248">
        <v>0</v>
      </c>
      <c r="BB1233" s="235">
        <v>406</v>
      </c>
      <c r="BC1233" s="247" t="s">
        <v>2596</v>
      </c>
      <c r="BD1233" s="247">
        <v>0.1</v>
      </c>
      <c r="BE1233" s="247">
        <v>0.2</v>
      </c>
      <c r="BF1233" s="247">
        <v>0.5</v>
      </c>
      <c r="BG1233" s="247">
        <v>1.6</v>
      </c>
      <c r="BH1233" s="247">
        <v>4.4000000000000004</v>
      </c>
      <c r="BI1233" s="247">
        <v>8.4</v>
      </c>
      <c r="BJ1233" s="247">
        <v>10.7</v>
      </c>
      <c r="BK1233" s="247">
        <v>9.3000000000000007</v>
      </c>
      <c r="BL1233" s="247">
        <v>5.4</v>
      </c>
      <c r="BM1233" s="247">
        <v>1.9</v>
      </c>
      <c r="BN1233" s="247">
        <v>0.4</v>
      </c>
      <c r="BO1233" s="247">
        <v>0.2</v>
      </c>
      <c r="BP1233" s="248">
        <v>3.6</v>
      </c>
    </row>
    <row r="1234" spans="1:68" ht="14.25" customHeight="1">
      <c r="A1234" s="233">
        <v>577</v>
      </c>
      <c r="B1234" s="234">
        <v>34</v>
      </c>
      <c r="C1234" s="244" t="s">
        <v>928</v>
      </c>
      <c r="D1234" s="244" t="s">
        <v>1046</v>
      </c>
      <c r="E1234" s="244" t="s">
        <v>2598</v>
      </c>
      <c r="F1234" s="245">
        <v>-32.299999999999997</v>
      </c>
      <c r="G1234" s="245">
        <v>-26.4</v>
      </c>
      <c r="H1234" s="245">
        <v>-15.2</v>
      </c>
      <c r="I1234" s="245">
        <v>-3.1</v>
      </c>
      <c r="J1234" s="245">
        <v>6.5</v>
      </c>
      <c r="K1234" s="245">
        <v>14.3</v>
      </c>
      <c r="L1234" s="245">
        <v>17.600000000000001</v>
      </c>
      <c r="M1234" s="245">
        <v>14.3</v>
      </c>
      <c r="N1234" s="245">
        <v>6.8</v>
      </c>
      <c r="O1234" s="245">
        <v>-4.9000000000000004</v>
      </c>
      <c r="P1234" s="245">
        <v>-21.2</v>
      </c>
      <c r="Q1234" s="245">
        <v>-31.1</v>
      </c>
      <c r="R1234" s="246">
        <v>-6.2</v>
      </c>
      <c r="S1234" s="233">
        <v>34</v>
      </c>
      <c r="T1234" s="247" t="s">
        <v>2599</v>
      </c>
      <c r="U1234" s="245">
        <v>-47</v>
      </c>
      <c r="V1234" s="245">
        <v>-46</v>
      </c>
      <c r="W1234" s="245">
        <v>-45</v>
      </c>
      <c r="X1234" s="245">
        <v>-44</v>
      </c>
      <c r="Y1234" s="245">
        <v>-37</v>
      </c>
      <c r="Z1234" s="245">
        <v>-51</v>
      </c>
      <c r="AA1234" s="245">
        <v>8.1999999999999993</v>
      </c>
      <c r="AB1234" s="245">
        <v>204</v>
      </c>
      <c r="AC1234" s="245">
        <v>-19.5</v>
      </c>
      <c r="AD1234" s="245">
        <v>253</v>
      </c>
      <c r="AE1234" s="245">
        <v>-14.9</v>
      </c>
      <c r="AF1234" s="245">
        <v>269</v>
      </c>
      <c r="AG1234" s="245">
        <v>-13.5</v>
      </c>
      <c r="AH1234" s="245">
        <v>76</v>
      </c>
      <c r="AI1234" s="245">
        <v>72</v>
      </c>
      <c r="AJ1234" s="245">
        <v>54</v>
      </c>
      <c r="AK1234" s="245" t="s">
        <v>996</v>
      </c>
      <c r="AL1234" s="245">
        <v>4.3</v>
      </c>
      <c r="AM1234" s="246">
        <v>1.6</v>
      </c>
      <c r="AN1234" s="235">
        <v>34</v>
      </c>
      <c r="AO1234" s="247" t="s">
        <v>2600</v>
      </c>
      <c r="AP1234" s="247">
        <v>955</v>
      </c>
      <c r="AQ1234" s="247">
        <v>22.9</v>
      </c>
      <c r="AR1234" s="247">
        <v>27</v>
      </c>
      <c r="AS1234" s="247">
        <v>25.3</v>
      </c>
      <c r="AT1234" s="247">
        <v>37</v>
      </c>
      <c r="AU1234" s="247">
        <v>14</v>
      </c>
      <c r="AV1234" s="247">
        <v>72</v>
      </c>
      <c r="AW1234" s="247">
        <v>52</v>
      </c>
      <c r="AX1234" s="247">
        <v>402</v>
      </c>
      <c r="AY1234" s="247">
        <v>128</v>
      </c>
      <c r="AZ1234" s="247" t="s">
        <v>940</v>
      </c>
      <c r="BA1234" s="248">
        <v>0</v>
      </c>
      <c r="BB1234" s="235">
        <v>21</v>
      </c>
      <c r="BC1234" s="247" t="s">
        <v>2598</v>
      </c>
      <c r="BD1234" s="247">
        <v>0.4</v>
      </c>
      <c r="BE1234" s="247">
        <v>0.6</v>
      </c>
      <c r="BF1234" s="247">
        <v>1.3</v>
      </c>
      <c r="BG1234" s="247">
        <v>2.8</v>
      </c>
      <c r="BH1234" s="247">
        <v>5.2</v>
      </c>
      <c r="BI1234" s="247">
        <v>10.3</v>
      </c>
      <c r="BJ1234" s="247">
        <v>14.3</v>
      </c>
      <c r="BK1234" s="247">
        <v>12.7</v>
      </c>
      <c r="BL1234" s="247">
        <v>7.3</v>
      </c>
      <c r="BM1234" s="247">
        <v>3.1</v>
      </c>
      <c r="BN1234" s="247">
        <v>1</v>
      </c>
      <c r="BO1234" s="247">
        <v>0.4</v>
      </c>
      <c r="BP1234" s="248">
        <v>5</v>
      </c>
    </row>
    <row r="1235" spans="1:68" ht="14.25" customHeight="1">
      <c r="A1235" s="233">
        <v>578</v>
      </c>
      <c r="B1235" s="234">
        <v>321</v>
      </c>
      <c r="C1235" s="244" t="s">
        <v>928</v>
      </c>
      <c r="D1235" s="244" t="s">
        <v>987</v>
      </c>
      <c r="E1235" s="244" t="s">
        <v>2601</v>
      </c>
      <c r="F1235" s="245">
        <v>-21.5</v>
      </c>
      <c r="G1235" s="245">
        <v>-19.3</v>
      </c>
      <c r="H1235" s="245">
        <v>-11</v>
      </c>
      <c r="I1235" s="245">
        <v>-0.9</v>
      </c>
      <c r="J1235" s="245">
        <v>6.7</v>
      </c>
      <c r="K1235" s="245">
        <v>15</v>
      </c>
      <c r="L1235" s="245">
        <v>18.100000000000001</v>
      </c>
      <c r="M1235" s="245">
        <v>14.1</v>
      </c>
      <c r="N1235" s="245">
        <v>7.9</v>
      </c>
      <c r="O1235" s="245">
        <v>-0.9</v>
      </c>
      <c r="P1235" s="245">
        <v>-12.9</v>
      </c>
      <c r="Q1235" s="245">
        <v>-20.100000000000001</v>
      </c>
      <c r="R1235" s="246">
        <v>-2.1</v>
      </c>
      <c r="S1235" s="233">
        <v>321</v>
      </c>
      <c r="T1235" s="247" t="s">
        <v>2602</v>
      </c>
      <c r="U1235" s="245">
        <v>-48</v>
      </c>
      <c r="V1235" s="245">
        <v>-47</v>
      </c>
      <c r="W1235" s="245">
        <v>-46</v>
      </c>
      <c r="X1235" s="245">
        <v>-43</v>
      </c>
      <c r="Y1235" s="245">
        <v>-27</v>
      </c>
      <c r="Z1235" s="245">
        <v>-51</v>
      </c>
      <c r="AA1235" s="245">
        <v>9.8000000000000007</v>
      </c>
      <c r="AB1235" s="245">
        <v>188</v>
      </c>
      <c r="AC1235" s="245">
        <v>-13.8</v>
      </c>
      <c r="AD1235" s="245">
        <v>248</v>
      </c>
      <c r="AE1235" s="245">
        <v>-9.5</v>
      </c>
      <c r="AF1235" s="245">
        <v>265</v>
      </c>
      <c r="AG1235" s="245">
        <v>-8.3000000000000007</v>
      </c>
      <c r="AH1235" s="245">
        <v>81</v>
      </c>
      <c r="AI1235" s="245">
        <v>79</v>
      </c>
      <c r="AJ1235" s="245">
        <v>155</v>
      </c>
      <c r="AK1235" s="245" t="s">
        <v>971</v>
      </c>
      <c r="AL1235" s="245">
        <v>3.6</v>
      </c>
      <c r="AM1235" s="246" t="s">
        <v>931</v>
      </c>
      <c r="AN1235" s="235">
        <v>321</v>
      </c>
      <c r="AO1235" s="247" t="s">
        <v>2603</v>
      </c>
      <c r="AP1235" s="247">
        <v>995</v>
      </c>
      <c r="AQ1235" s="247">
        <v>22</v>
      </c>
      <c r="AR1235" s="247">
        <v>26.2</v>
      </c>
      <c r="AS1235" s="247">
        <v>24.4</v>
      </c>
      <c r="AT1235" s="247">
        <v>36</v>
      </c>
      <c r="AU1235" s="247">
        <v>12.4</v>
      </c>
      <c r="AV1235" s="247">
        <v>72</v>
      </c>
      <c r="AW1235" s="247">
        <v>55</v>
      </c>
      <c r="AX1235" s="247">
        <v>421</v>
      </c>
      <c r="AY1235" s="247">
        <v>96</v>
      </c>
      <c r="AZ1235" s="247" t="s">
        <v>978</v>
      </c>
      <c r="BA1235" s="248">
        <v>0</v>
      </c>
      <c r="BB1235" s="235">
        <v>289</v>
      </c>
      <c r="BC1235" s="247" t="s">
        <v>2601</v>
      </c>
      <c r="BD1235" s="247">
        <v>1.2</v>
      </c>
      <c r="BE1235" s="247">
        <v>1.3</v>
      </c>
      <c r="BF1235" s="247">
        <v>2.2000000000000002</v>
      </c>
      <c r="BG1235" s="247">
        <v>3.8</v>
      </c>
      <c r="BH1235" s="247">
        <v>6.1</v>
      </c>
      <c r="BI1235" s="247">
        <v>11</v>
      </c>
      <c r="BJ1235" s="247">
        <v>14.5</v>
      </c>
      <c r="BK1235" s="247">
        <v>12.7</v>
      </c>
      <c r="BL1235" s="247">
        <v>8.6</v>
      </c>
      <c r="BM1235" s="247">
        <v>4.9000000000000004</v>
      </c>
      <c r="BN1235" s="247">
        <v>2.4</v>
      </c>
      <c r="BO1235" s="247">
        <v>1.5</v>
      </c>
      <c r="BP1235" s="248">
        <v>5.9</v>
      </c>
    </row>
    <row r="1236" spans="1:68" ht="14.25" customHeight="1">
      <c r="A1236" s="233">
        <v>579</v>
      </c>
      <c r="B1236" s="234">
        <v>398</v>
      </c>
      <c r="C1236" s="244" t="s">
        <v>928</v>
      </c>
      <c r="D1236" s="244" t="s">
        <v>1011</v>
      </c>
      <c r="E1236" s="244" t="s">
        <v>2604</v>
      </c>
      <c r="F1236" s="245">
        <v>-35.6</v>
      </c>
      <c r="G1236" s="245">
        <v>-34.1</v>
      </c>
      <c r="H1236" s="245">
        <v>-26.5</v>
      </c>
      <c r="I1236" s="245">
        <v>-13.7</v>
      </c>
      <c r="J1236" s="245">
        <v>1.7</v>
      </c>
      <c r="K1236" s="245">
        <v>11.8</v>
      </c>
      <c r="L1236" s="245">
        <v>12.8</v>
      </c>
      <c r="M1236" s="245">
        <v>9.3000000000000007</v>
      </c>
      <c r="N1236" s="245">
        <v>2.2999999999999998</v>
      </c>
      <c r="O1236" s="245">
        <v>-11.7</v>
      </c>
      <c r="P1236" s="245">
        <v>-27.3</v>
      </c>
      <c r="Q1236" s="245">
        <v>-34.799999999999997</v>
      </c>
      <c r="R1236" s="246">
        <v>-12.2</v>
      </c>
      <c r="S1236" s="233">
        <v>398</v>
      </c>
      <c r="T1236" s="247" t="s">
        <v>2605</v>
      </c>
      <c r="U1236" s="245">
        <v>-57</v>
      </c>
      <c r="V1236" s="245">
        <v>-54</v>
      </c>
      <c r="W1236" s="245">
        <v>-55</v>
      </c>
      <c r="X1236" s="245">
        <v>-51</v>
      </c>
      <c r="Y1236" s="245">
        <v>-41</v>
      </c>
      <c r="Z1236" s="245">
        <v>-58</v>
      </c>
      <c r="AA1236" s="245">
        <v>8.1999999999999993</v>
      </c>
      <c r="AB1236" s="245">
        <v>234</v>
      </c>
      <c r="AC1236" s="245">
        <v>-23.5</v>
      </c>
      <c r="AD1236" s="245">
        <v>286</v>
      </c>
      <c r="AE1236" s="245">
        <v>-18.399999999999999</v>
      </c>
      <c r="AF1236" s="245">
        <v>304</v>
      </c>
      <c r="AG1236" s="245">
        <v>-16.8</v>
      </c>
      <c r="AH1236" s="245">
        <v>77</v>
      </c>
      <c r="AI1236" s="245">
        <v>77</v>
      </c>
      <c r="AJ1236" s="245">
        <v>84</v>
      </c>
      <c r="AK1236" s="245" t="s">
        <v>971</v>
      </c>
      <c r="AL1236" s="245" t="s">
        <v>931</v>
      </c>
      <c r="AM1236" s="246">
        <v>1.5</v>
      </c>
      <c r="AN1236" s="235">
        <v>398</v>
      </c>
      <c r="AO1236" s="247" t="s">
        <v>2606</v>
      </c>
      <c r="AP1236" s="247">
        <v>995</v>
      </c>
      <c r="AQ1236" s="247">
        <v>17</v>
      </c>
      <c r="AR1236" s="247">
        <v>21.4</v>
      </c>
      <c r="AS1236" s="247">
        <v>19.399999999999999</v>
      </c>
      <c r="AT1236" s="247">
        <v>34</v>
      </c>
      <c r="AU1236" s="247">
        <v>13.1</v>
      </c>
      <c r="AV1236" s="247">
        <v>70</v>
      </c>
      <c r="AW1236" s="247">
        <v>54</v>
      </c>
      <c r="AX1236" s="247">
        <v>182</v>
      </c>
      <c r="AY1236" s="247">
        <v>47</v>
      </c>
      <c r="AZ1236" s="247" t="s">
        <v>940</v>
      </c>
      <c r="BA1236" s="248" t="s">
        <v>934</v>
      </c>
      <c r="BB1236" s="235">
        <v>362</v>
      </c>
      <c r="BC1236" s="247" t="s">
        <v>2604</v>
      </c>
      <c r="BD1236" s="247">
        <v>0.3</v>
      </c>
      <c r="BE1236" s="247">
        <v>0.3</v>
      </c>
      <c r="BF1236" s="247">
        <v>0.6</v>
      </c>
      <c r="BG1236" s="247">
        <v>1.7</v>
      </c>
      <c r="BH1236" s="247">
        <v>4.3</v>
      </c>
      <c r="BI1236" s="247">
        <v>8</v>
      </c>
      <c r="BJ1236" s="247">
        <v>10</v>
      </c>
      <c r="BK1236" s="247">
        <v>8.8000000000000007</v>
      </c>
      <c r="BL1236" s="247">
        <v>5.6</v>
      </c>
      <c r="BM1236" s="247">
        <v>2.2999999999999998</v>
      </c>
      <c r="BN1236" s="247">
        <v>0.7</v>
      </c>
      <c r="BO1236" s="247">
        <v>0.4</v>
      </c>
      <c r="BP1236" s="248">
        <v>3.6</v>
      </c>
    </row>
    <row r="1237" spans="1:68" ht="14.25" customHeight="1">
      <c r="A1237" s="233">
        <v>580</v>
      </c>
      <c r="B1237" s="234">
        <v>107</v>
      </c>
      <c r="C1237" s="244" t="s">
        <v>928</v>
      </c>
      <c r="D1237" s="244" t="s">
        <v>1001</v>
      </c>
      <c r="E1237" s="244" t="s">
        <v>2607</v>
      </c>
      <c r="F1237" s="245">
        <v>-24.8</v>
      </c>
      <c r="G1237" s="245">
        <v>-22.3</v>
      </c>
      <c r="H1237" s="245">
        <v>-12.5</v>
      </c>
      <c r="I1237" s="245">
        <v>0.6</v>
      </c>
      <c r="J1237" s="245">
        <v>8.1999999999999993</v>
      </c>
      <c r="K1237" s="245">
        <v>15.6</v>
      </c>
      <c r="L1237" s="245">
        <v>18</v>
      </c>
      <c r="M1237" s="245">
        <v>15.1</v>
      </c>
      <c r="N1237" s="245">
        <v>7.7</v>
      </c>
      <c r="O1237" s="245">
        <v>-0.8</v>
      </c>
      <c r="P1237" s="245">
        <v>-14.2</v>
      </c>
      <c r="Q1237" s="245">
        <v>-21.9</v>
      </c>
      <c r="R1237" s="246">
        <v>-2.6</v>
      </c>
      <c r="S1237" s="233">
        <v>107</v>
      </c>
      <c r="T1237" s="247" t="s">
        <v>2608</v>
      </c>
      <c r="U1237" s="245">
        <v>-46</v>
      </c>
      <c r="V1237" s="245">
        <v>-44</v>
      </c>
      <c r="W1237" s="245">
        <v>-44</v>
      </c>
      <c r="X1237" s="245">
        <v>-41</v>
      </c>
      <c r="Y1237" s="245">
        <v>-30</v>
      </c>
      <c r="Z1237" s="245">
        <v>-50</v>
      </c>
      <c r="AA1237" s="245">
        <v>11.1</v>
      </c>
      <c r="AB1237" s="245">
        <v>183</v>
      </c>
      <c r="AC1237" s="245">
        <v>-15.8</v>
      </c>
      <c r="AD1237" s="245">
        <v>243</v>
      </c>
      <c r="AE1237" s="245">
        <v>-10.9</v>
      </c>
      <c r="AF1237" s="245">
        <v>259</v>
      </c>
      <c r="AG1237" s="245">
        <v>-9.6</v>
      </c>
      <c r="AH1237" s="245">
        <v>80</v>
      </c>
      <c r="AI1237" s="245">
        <v>79</v>
      </c>
      <c r="AJ1237" s="245">
        <v>46</v>
      </c>
      <c r="AK1237" s="245" t="s">
        <v>996</v>
      </c>
      <c r="AL1237" s="245" t="s">
        <v>931</v>
      </c>
      <c r="AM1237" s="246">
        <v>3.1</v>
      </c>
      <c r="AN1237" s="235">
        <v>107</v>
      </c>
      <c r="AO1237" s="247" t="s">
        <v>2609</v>
      </c>
      <c r="AP1237" s="247">
        <v>955</v>
      </c>
      <c r="AQ1237" s="247">
        <v>22.8</v>
      </c>
      <c r="AR1237" s="247">
        <v>26.9</v>
      </c>
      <c r="AS1237" s="247">
        <v>25.2</v>
      </c>
      <c r="AT1237" s="247">
        <v>37</v>
      </c>
      <c r="AU1237" s="247">
        <v>13.8</v>
      </c>
      <c r="AV1237" s="247">
        <v>72</v>
      </c>
      <c r="AW1237" s="247">
        <v>56</v>
      </c>
      <c r="AX1237" s="247">
        <v>278</v>
      </c>
      <c r="AY1237" s="247" t="s">
        <v>965</v>
      </c>
      <c r="AZ1237" s="247" t="s">
        <v>959</v>
      </c>
      <c r="BA1237" s="248" t="s">
        <v>934</v>
      </c>
      <c r="BB1237" s="235">
        <v>91</v>
      </c>
      <c r="BC1237" s="247" t="s">
        <v>2607</v>
      </c>
      <c r="BD1237" s="247">
        <v>0.8</v>
      </c>
      <c r="BE1237" s="247">
        <v>1</v>
      </c>
      <c r="BF1237" s="247">
        <v>2</v>
      </c>
      <c r="BG1237" s="247">
        <v>3.6</v>
      </c>
      <c r="BH1237" s="247">
        <v>5.5</v>
      </c>
      <c r="BI1237" s="247">
        <v>10.4</v>
      </c>
      <c r="BJ1237" s="247">
        <v>14.3</v>
      </c>
      <c r="BK1237" s="247">
        <v>12.6</v>
      </c>
      <c r="BL1237" s="247">
        <v>7.6</v>
      </c>
      <c r="BM1237" s="247">
        <v>4.0999999999999996</v>
      </c>
      <c r="BN1237" s="247">
        <v>2</v>
      </c>
      <c r="BO1237" s="247">
        <v>1.2</v>
      </c>
      <c r="BP1237" s="248">
        <v>5.4</v>
      </c>
    </row>
    <row r="1238" spans="1:68" ht="14.25" customHeight="1">
      <c r="A1238" s="233">
        <v>581</v>
      </c>
      <c r="B1238" s="234">
        <v>157</v>
      </c>
      <c r="C1238" s="244" t="s">
        <v>928</v>
      </c>
      <c r="D1238" s="244" t="s">
        <v>1273</v>
      </c>
      <c r="E1238" s="244" t="s">
        <v>2610</v>
      </c>
      <c r="F1238" s="245">
        <v>-18.399999999999999</v>
      </c>
      <c r="G1238" s="245">
        <v>-17.600000000000001</v>
      </c>
      <c r="H1238" s="245">
        <v>-12.9</v>
      </c>
      <c r="I1238" s="245">
        <v>-4.3</v>
      </c>
      <c r="J1238" s="245">
        <v>1.4</v>
      </c>
      <c r="K1238" s="245">
        <v>9.5</v>
      </c>
      <c r="L1238" s="245">
        <v>14.1</v>
      </c>
      <c r="M1238" s="245">
        <v>11.6</v>
      </c>
      <c r="N1238" s="245">
        <v>5.7</v>
      </c>
      <c r="O1238" s="245">
        <v>-2.1</v>
      </c>
      <c r="P1238" s="245">
        <v>-9.6</v>
      </c>
      <c r="Q1238" s="245">
        <v>-15.6</v>
      </c>
      <c r="R1238" s="246">
        <v>-3.2</v>
      </c>
      <c r="S1238" s="233">
        <v>157</v>
      </c>
      <c r="T1238" s="247" t="s">
        <v>2611</v>
      </c>
      <c r="U1238" s="245">
        <v>-47</v>
      </c>
      <c r="V1238" s="245">
        <v>-44</v>
      </c>
      <c r="W1238" s="245">
        <v>-43</v>
      </c>
      <c r="X1238" s="245">
        <v>-41</v>
      </c>
      <c r="Y1238" s="245">
        <v>-23</v>
      </c>
      <c r="Z1238" s="245">
        <v>-53</v>
      </c>
      <c r="AA1238" s="245">
        <v>8.1999999999999993</v>
      </c>
      <c r="AB1238" s="245">
        <v>213</v>
      </c>
      <c r="AC1238" s="245">
        <v>-11.2</v>
      </c>
      <c r="AD1238" s="245">
        <v>279</v>
      </c>
      <c r="AE1238" s="245">
        <v>-7.6</v>
      </c>
      <c r="AF1238" s="245">
        <v>298</v>
      </c>
      <c r="AG1238" s="245">
        <v>-6.5</v>
      </c>
      <c r="AH1238" s="245">
        <v>85</v>
      </c>
      <c r="AI1238" s="245">
        <v>85</v>
      </c>
      <c r="AJ1238" s="245">
        <v>151</v>
      </c>
      <c r="AK1238" s="245" t="s">
        <v>963</v>
      </c>
      <c r="AL1238" s="245" t="s">
        <v>931</v>
      </c>
      <c r="AM1238" s="246">
        <v>4.8</v>
      </c>
      <c r="AN1238" s="235">
        <v>157</v>
      </c>
      <c r="AO1238" s="247" t="s">
        <v>2612</v>
      </c>
      <c r="AP1238" s="247">
        <v>1000</v>
      </c>
      <c r="AQ1238" s="247">
        <v>17.100000000000001</v>
      </c>
      <c r="AR1238" s="247">
        <v>21.5</v>
      </c>
      <c r="AS1238" s="247">
        <v>19.5</v>
      </c>
      <c r="AT1238" s="247">
        <v>32</v>
      </c>
      <c r="AU1238" s="247">
        <v>10.1</v>
      </c>
      <c r="AV1238" s="247">
        <v>71</v>
      </c>
      <c r="AW1238" s="247">
        <v>61</v>
      </c>
      <c r="AX1238" s="247">
        <v>344</v>
      </c>
      <c r="AY1238" s="247">
        <v>50</v>
      </c>
      <c r="AZ1238" s="247" t="s">
        <v>1005</v>
      </c>
      <c r="BA1238" s="248" t="s">
        <v>934</v>
      </c>
      <c r="BB1238" s="235">
        <v>137</v>
      </c>
      <c r="BC1238" s="247" t="s">
        <v>2610</v>
      </c>
      <c r="BD1238" s="247">
        <v>1.6</v>
      </c>
      <c r="BE1238" s="247">
        <v>1.7</v>
      </c>
      <c r="BF1238" s="247">
        <v>2.2999999999999998</v>
      </c>
      <c r="BG1238" s="247">
        <v>3.6</v>
      </c>
      <c r="BH1238" s="247">
        <v>5.0999999999999996</v>
      </c>
      <c r="BI1238" s="247">
        <v>8.1999999999999993</v>
      </c>
      <c r="BJ1238" s="247">
        <v>11.5</v>
      </c>
      <c r="BK1238" s="247">
        <v>11</v>
      </c>
      <c r="BL1238" s="247">
        <v>8</v>
      </c>
      <c r="BM1238" s="247">
        <v>4.9000000000000004</v>
      </c>
      <c r="BN1238" s="247">
        <v>3.1</v>
      </c>
      <c r="BO1238" s="247">
        <v>2.1</v>
      </c>
      <c r="BP1238" s="248">
        <v>5.3</v>
      </c>
    </row>
    <row r="1239" spans="1:68" ht="14.25" customHeight="1">
      <c r="A1239" s="233">
        <v>582</v>
      </c>
      <c r="B1239" s="234">
        <v>130</v>
      </c>
      <c r="C1239" s="244" t="s">
        <v>928</v>
      </c>
      <c r="D1239" s="244" t="s">
        <v>1023</v>
      </c>
      <c r="E1239" s="244" t="s">
        <v>2613</v>
      </c>
      <c r="F1239" s="245">
        <v>-14.2</v>
      </c>
      <c r="G1239" s="245">
        <v>-14.4</v>
      </c>
      <c r="H1239" s="245">
        <v>-11.3</v>
      </c>
      <c r="I1239" s="245">
        <v>-4.5</v>
      </c>
      <c r="J1239" s="245">
        <v>2.2000000000000002</v>
      </c>
      <c r="K1239" s="245">
        <v>7.3</v>
      </c>
      <c r="L1239" s="245">
        <v>11.2</v>
      </c>
      <c r="M1239" s="245">
        <v>11.7</v>
      </c>
      <c r="N1239" s="245">
        <v>8</v>
      </c>
      <c r="O1239" s="245">
        <v>1.6</v>
      </c>
      <c r="P1239" s="245">
        <v>-5.7</v>
      </c>
      <c r="Q1239" s="245">
        <v>-11.1</v>
      </c>
      <c r="R1239" s="246">
        <v>-1.6</v>
      </c>
      <c r="S1239" s="233">
        <v>130</v>
      </c>
      <c r="T1239" s="247" t="s">
        <v>2614</v>
      </c>
      <c r="U1239" s="245">
        <v>-38</v>
      </c>
      <c r="V1239" s="245">
        <v>-35</v>
      </c>
      <c r="W1239" s="245">
        <v>-34</v>
      </c>
      <c r="X1239" s="245">
        <v>-31</v>
      </c>
      <c r="Y1239" s="245">
        <v>-19</v>
      </c>
      <c r="Z1239" s="245">
        <v>-42</v>
      </c>
      <c r="AA1239" s="245">
        <v>9.1</v>
      </c>
      <c r="AB1239" s="245">
        <v>195</v>
      </c>
      <c r="AC1239" s="245">
        <v>-9.1999999999999993</v>
      </c>
      <c r="AD1239" s="245">
        <v>278</v>
      </c>
      <c r="AE1239" s="245">
        <v>-5.2</v>
      </c>
      <c r="AF1239" s="245">
        <v>311</v>
      </c>
      <c r="AG1239" s="245">
        <v>-3.8</v>
      </c>
      <c r="AH1239" s="245">
        <v>84</v>
      </c>
      <c r="AI1239" s="245">
        <v>81</v>
      </c>
      <c r="AJ1239" s="245">
        <v>287</v>
      </c>
      <c r="AK1239" s="245" t="s">
        <v>938</v>
      </c>
      <c r="AL1239" s="245">
        <v>8.1</v>
      </c>
      <c r="AM1239" s="246">
        <v>5.5</v>
      </c>
      <c r="AN1239" s="235">
        <v>130</v>
      </c>
      <c r="AO1239" s="247" t="s">
        <v>2615</v>
      </c>
      <c r="AP1239" s="247">
        <v>1010</v>
      </c>
      <c r="AQ1239" s="247">
        <v>13.1</v>
      </c>
      <c r="AR1239" s="247">
        <v>18</v>
      </c>
      <c r="AS1239" s="247">
        <v>15.5</v>
      </c>
      <c r="AT1239" s="247">
        <v>30</v>
      </c>
      <c r="AU1239" s="247">
        <v>6.9</v>
      </c>
      <c r="AV1239" s="247">
        <v>89</v>
      </c>
      <c r="AW1239" s="247">
        <v>82</v>
      </c>
      <c r="AX1239" s="247">
        <v>479</v>
      </c>
      <c r="AY1239" s="247">
        <v>61</v>
      </c>
      <c r="AZ1239" s="247" t="s">
        <v>1005</v>
      </c>
      <c r="BA1239" s="248">
        <v>0</v>
      </c>
      <c r="BB1239" s="235">
        <v>113</v>
      </c>
      <c r="BC1239" s="247" t="s">
        <v>2613</v>
      </c>
      <c r="BD1239" s="247">
        <v>2</v>
      </c>
      <c r="BE1239" s="247">
        <v>1.9</v>
      </c>
      <c r="BF1239" s="247">
        <v>2.4</v>
      </c>
      <c r="BG1239" s="247">
        <v>3.7</v>
      </c>
      <c r="BH1239" s="247">
        <v>5.9</v>
      </c>
      <c r="BI1239" s="247">
        <v>8.6999999999999993</v>
      </c>
      <c r="BJ1239" s="247">
        <v>11.7</v>
      </c>
      <c r="BK1239" s="247">
        <v>12.1</v>
      </c>
      <c r="BL1239" s="247">
        <v>9.3000000000000007</v>
      </c>
      <c r="BM1239" s="247">
        <v>5.8</v>
      </c>
      <c r="BN1239" s="247">
        <v>3.5</v>
      </c>
      <c r="BO1239" s="247">
        <v>2.4</v>
      </c>
      <c r="BP1239" s="248">
        <v>5.8</v>
      </c>
    </row>
    <row r="1240" spans="1:68" ht="14.25" customHeight="1">
      <c r="A1240" s="233">
        <v>583</v>
      </c>
      <c r="B1240" s="234">
        <v>158</v>
      </c>
      <c r="C1240" s="244" t="s">
        <v>928</v>
      </c>
      <c r="D1240" s="244" t="s">
        <v>1273</v>
      </c>
      <c r="E1240" s="244" t="s">
        <v>2616</v>
      </c>
      <c r="F1240" s="245">
        <v>-17.3</v>
      </c>
      <c r="G1240" s="245">
        <v>-15.8</v>
      </c>
      <c r="H1240" s="245">
        <v>-10.7</v>
      </c>
      <c r="I1240" s="245">
        <v>-2.6</v>
      </c>
      <c r="J1240" s="245">
        <v>3.1</v>
      </c>
      <c r="K1240" s="245">
        <v>10.6</v>
      </c>
      <c r="L1240" s="245">
        <v>14.5</v>
      </c>
      <c r="M1240" s="245">
        <v>12</v>
      </c>
      <c r="N1240" s="245">
        <v>6.2</v>
      </c>
      <c r="O1240" s="245">
        <v>-1.3</v>
      </c>
      <c r="P1240" s="245">
        <v>-8.5</v>
      </c>
      <c r="Q1240" s="245">
        <v>-14.2</v>
      </c>
      <c r="R1240" s="246">
        <v>-2</v>
      </c>
      <c r="S1240" s="233">
        <v>158</v>
      </c>
      <c r="T1240" s="247" t="s">
        <v>2617</v>
      </c>
      <c r="U1240" s="245">
        <v>-46</v>
      </c>
      <c r="V1240" s="245">
        <v>-44</v>
      </c>
      <c r="W1240" s="245">
        <v>-41</v>
      </c>
      <c r="X1240" s="245">
        <v>-39</v>
      </c>
      <c r="Y1240" s="245">
        <v>-22</v>
      </c>
      <c r="Z1240" s="245">
        <v>-52</v>
      </c>
      <c r="AA1240" s="245">
        <v>8.4</v>
      </c>
      <c r="AB1240" s="245">
        <v>201</v>
      </c>
      <c r="AC1240" s="245">
        <v>-10.4</v>
      </c>
      <c r="AD1240" s="245">
        <v>272</v>
      </c>
      <c r="AE1240" s="245">
        <v>-6.6</v>
      </c>
      <c r="AF1240" s="245">
        <v>290</v>
      </c>
      <c r="AG1240" s="245">
        <v>-5.6</v>
      </c>
      <c r="AH1240" s="245">
        <v>84</v>
      </c>
      <c r="AI1240" s="245">
        <v>82</v>
      </c>
      <c r="AJ1240" s="245">
        <v>158</v>
      </c>
      <c r="AK1240" s="245" t="s">
        <v>982</v>
      </c>
      <c r="AL1240" s="245" t="s">
        <v>931</v>
      </c>
      <c r="AM1240" s="246">
        <v>4.5</v>
      </c>
      <c r="AN1240" s="235">
        <v>158</v>
      </c>
      <c r="AO1240" s="247" t="s">
        <v>2618</v>
      </c>
      <c r="AP1240" s="247">
        <v>1000</v>
      </c>
      <c r="AQ1240" s="247">
        <v>18.2</v>
      </c>
      <c r="AR1240" s="247">
        <v>22.9</v>
      </c>
      <c r="AS1240" s="247">
        <v>19.7</v>
      </c>
      <c r="AT1240" s="247">
        <v>34</v>
      </c>
      <c r="AU1240" s="247">
        <v>9.9</v>
      </c>
      <c r="AV1240" s="247">
        <v>71</v>
      </c>
      <c r="AW1240" s="247">
        <v>57</v>
      </c>
      <c r="AX1240" s="247">
        <v>383</v>
      </c>
      <c r="AY1240" s="247">
        <v>66</v>
      </c>
      <c r="AZ1240" s="247" t="s">
        <v>933</v>
      </c>
      <c r="BA1240" s="248" t="s">
        <v>934</v>
      </c>
      <c r="BB1240" s="235">
        <v>138</v>
      </c>
      <c r="BC1240" s="247" t="s">
        <v>2616</v>
      </c>
      <c r="BD1240" s="247">
        <v>1.7</v>
      </c>
      <c r="BE1240" s="247">
        <v>1.8</v>
      </c>
      <c r="BF1240" s="247">
        <v>2.5</v>
      </c>
      <c r="BG1240" s="247">
        <v>3.9</v>
      </c>
      <c r="BH1240" s="247">
        <v>5.5</v>
      </c>
      <c r="BI1240" s="247">
        <v>8.6999999999999993</v>
      </c>
      <c r="BJ1240" s="247">
        <v>11.8</v>
      </c>
      <c r="BK1240" s="247">
        <v>11.4</v>
      </c>
      <c r="BL1240" s="247">
        <v>8.3000000000000007</v>
      </c>
      <c r="BM1240" s="247">
        <v>5.2</v>
      </c>
      <c r="BN1240" s="247">
        <v>3.4</v>
      </c>
      <c r="BO1240" s="247">
        <v>2.2999999999999998</v>
      </c>
      <c r="BP1240" s="248">
        <v>5.5</v>
      </c>
    </row>
    <row r="1241" spans="1:68" ht="14.25" customHeight="1">
      <c r="A1241" s="233">
        <v>584</v>
      </c>
      <c r="B1241" s="234">
        <v>159</v>
      </c>
      <c r="C1241" s="244" t="s">
        <v>928</v>
      </c>
      <c r="D1241" s="244" t="s">
        <v>1273</v>
      </c>
      <c r="E1241" s="244" t="s">
        <v>2619</v>
      </c>
      <c r="F1241" s="245">
        <v>-19.7</v>
      </c>
      <c r="G1241" s="245">
        <v>-17.7</v>
      </c>
      <c r="H1241" s="245">
        <v>-12</v>
      </c>
      <c r="I1241" s="245">
        <v>-2.4</v>
      </c>
      <c r="J1241" s="245">
        <v>3.7</v>
      </c>
      <c r="K1241" s="245">
        <v>11.4</v>
      </c>
      <c r="L1241" s="245">
        <v>15.2</v>
      </c>
      <c r="M1241" s="245">
        <v>12.3</v>
      </c>
      <c r="N1241" s="245">
        <v>6.4</v>
      </c>
      <c r="O1241" s="245">
        <v>-1.8</v>
      </c>
      <c r="P1241" s="245">
        <v>-10.199999999999999</v>
      </c>
      <c r="Q1241" s="245">
        <v>-16.899999999999999</v>
      </c>
      <c r="R1241" s="246">
        <v>-2.6</v>
      </c>
      <c r="S1241" s="233">
        <v>159</v>
      </c>
      <c r="T1241" s="247" t="s">
        <v>2620</v>
      </c>
      <c r="U1241" s="245">
        <v>-53</v>
      </c>
      <c r="V1241" s="245">
        <v>-50</v>
      </c>
      <c r="W1241" s="245">
        <v>-49</v>
      </c>
      <c r="X1241" s="245">
        <v>-45</v>
      </c>
      <c r="Y1241" s="245">
        <v>-25</v>
      </c>
      <c r="Z1241" s="245">
        <v>-58</v>
      </c>
      <c r="AA1241" s="245">
        <v>10</v>
      </c>
      <c r="AB1241" s="245">
        <v>200</v>
      </c>
      <c r="AC1241" s="245">
        <v>-12</v>
      </c>
      <c r="AD1241" s="245">
        <v>268</v>
      </c>
      <c r="AE1241" s="245">
        <v>-7.9</v>
      </c>
      <c r="AF1241" s="245">
        <v>286</v>
      </c>
      <c r="AG1241" s="245">
        <v>-6.8</v>
      </c>
      <c r="AH1241" s="245">
        <v>82</v>
      </c>
      <c r="AI1241" s="245">
        <v>82</v>
      </c>
      <c r="AJ1241" s="245">
        <v>198</v>
      </c>
      <c r="AK1241" s="245" t="s">
        <v>963</v>
      </c>
      <c r="AL1241" s="245">
        <v>5</v>
      </c>
      <c r="AM1241" s="246">
        <v>3.3</v>
      </c>
      <c r="AN1241" s="235">
        <v>159</v>
      </c>
      <c r="AO1241" s="247" t="s">
        <v>2621</v>
      </c>
      <c r="AP1241" s="247">
        <v>1000</v>
      </c>
      <c r="AQ1241" s="247">
        <v>18.600000000000001</v>
      </c>
      <c r="AR1241" s="247">
        <v>23</v>
      </c>
      <c r="AS1241" s="247">
        <v>21</v>
      </c>
      <c r="AT1241" s="247">
        <v>35</v>
      </c>
      <c r="AU1241" s="247">
        <v>13.7</v>
      </c>
      <c r="AV1241" s="247">
        <v>70</v>
      </c>
      <c r="AW1241" s="247">
        <v>56</v>
      </c>
      <c r="AX1241" s="247">
        <v>432</v>
      </c>
      <c r="AY1241" s="247">
        <v>52</v>
      </c>
      <c r="AZ1241" s="247" t="s">
        <v>1005</v>
      </c>
      <c r="BA1241" s="248">
        <v>0</v>
      </c>
      <c r="BB1241" s="235">
        <v>139</v>
      </c>
      <c r="BC1241" s="247" t="s">
        <v>2619</v>
      </c>
      <c r="BD1241" s="247">
        <v>1.5</v>
      </c>
      <c r="BE1241" s="247">
        <v>1.6</v>
      </c>
      <c r="BF1241" s="247">
        <v>2.4</v>
      </c>
      <c r="BG1241" s="247">
        <v>4</v>
      </c>
      <c r="BH1241" s="247">
        <v>5.6</v>
      </c>
      <c r="BI1241" s="247">
        <v>9</v>
      </c>
      <c r="BJ1241" s="247">
        <v>12.2</v>
      </c>
      <c r="BK1241" s="247">
        <v>11.5</v>
      </c>
      <c r="BL1241" s="247">
        <v>8.3000000000000007</v>
      </c>
      <c r="BM1241" s="247">
        <v>5</v>
      </c>
      <c r="BN1241" s="247">
        <v>3.1</v>
      </c>
      <c r="BO1241" s="247">
        <v>2</v>
      </c>
      <c r="BP1241" s="248">
        <v>5.5</v>
      </c>
    </row>
    <row r="1242" spans="1:68" ht="14.25" customHeight="1">
      <c r="A1242" s="233">
        <v>585</v>
      </c>
      <c r="B1242" s="234">
        <v>50</v>
      </c>
      <c r="C1242" s="244" t="s">
        <v>928</v>
      </c>
      <c r="D1242" s="244" t="s">
        <v>1149</v>
      </c>
      <c r="E1242" s="244" t="s">
        <v>246</v>
      </c>
      <c r="F1242" s="245">
        <v>-14.9</v>
      </c>
      <c r="G1242" s="245">
        <v>-13.7</v>
      </c>
      <c r="H1242" s="245">
        <v>-6.7</v>
      </c>
      <c r="I1242" s="245">
        <v>4.4000000000000004</v>
      </c>
      <c r="J1242" s="245">
        <v>13.3</v>
      </c>
      <c r="K1242" s="245">
        <v>17.3</v>
      </c>
      <c r="L1242" s="245">
        <v>18.899999999999999</v>
      </c>
      <c r="M1242" s="245">
        <v>16.8</v>
      </c>
      <c r="N1242" s="245">
        <v>11.1</v>
      </c>
      <c r="O1242" s="245">
        <v>2.8</v>
      </c>
      <c r="P1242" s="245">
        <v>-5.0999999999999996</v>
      </c>
      <c r="Q1242" s="245">
        <v>-11.2</v>
      </c>
      <c r="R1242" s="246">
        <v>2.8</v>
      </c>
      <c r="S1242" s="233">
        <v>50</v>
      </c>
      <c r="T1242" s="247" t="s">
        <v>2622</v>
      </c>
      <c r="U1242" s="245">
        <v>-41</v>
      </c>
      <c r="V1242" s="245">
        <v>-39</v>
      </c>
      <c r="W1242" s="245">
        <v>-38</v>
      </c>
      <c r="X1242" s="245">
        <v>-35</v>
      </c>
      <c r="Y1242" s="245">
        <v>-20</v>
      </c>
      <c r="Z1242" s="245">
        <v>-49</v>
      </c>
      <c r="AA1242" s="245">
        <v>8.3000000000000007</v>
      </c>
      <c r="AB1242" s="245">
        <v>159</v>
      </c>
      <c r="AC1242" s="245">
        <v>-9.4</v>
      </c>
      <c r="AD1242" s="245">
        <v>213</v>
      </c>
      <c r="AE1242" s="245">
        <v>-5.9</v>
      </c>
      <c r="AF1242" s="245">
        <v>227</v>
      </c>
      <c r="AG1242" s="245">
        <v>-5</v>
      </c>
      <c r="AH1242" s="245">
        <v>81</v>
      </c>
      <c r="AI1242" s="245">
        <v>76</v>
      </c>
      <c r="AJ1242" s="245">
        <v>195</v>
      </c>
      <c r="AK1242" s="245" t="s">
        <v>963</v>
      </c>
      <c r="AL1242" s="245">
        <v>5.5</v>
      </c>
      <c r="AM1242" s="246">
        <v>3.5</v>
      </c>
      <c r="AN1242" s="235">
        <v>50</v>
      </c>
      <c r="AO1242" s="247" t="s">
        <v>2623</v>
      </c>
      <c r="AP1242" s="247">
        <v>990</v>
      </c>
      <c r="AQ1242" s="247">
        <v>23.3</v>
      </c>
      <c r="AR1242" s="247">
        <v>27.3</v>
      </c>
      <c r="AS1242" s="247">
        <v>24.2</v>
      </c>
      <c r="AT1242" s="247">
        <v>39</v>
      </c>
      <c r="AU1242" s="247">
        <v>10.7</v>
      </c>
      <c r="AV1242" s="247">
        <v>72</v>
      </c>
      <c r="AW1242" s="247">
        <v>54</v>
      </c>
      <c r="AX1242" s="247">
        <v>362</v>
      </c>
      <c r="AY1242" s="247">
        <v>58</v>
      </c>
      <c r="AZ1242" s="247" t="s">
        <v>1005</v>
      </c>
      <c r="BA1242" s="248">
        <v>0</v>
      </c>
      <c r="BB1242" s="235">
        <v>36</v>
      </c>
      <c r="BC1242" s="247" t="s">
        <v>246</v>
      </c>
      <c r="BD1242" s="247">
        <v>2</v>
      </c>
      <c r="BE1242" s="247">
        <v>2</v>
      </c>
      <c r="BF1242" s="247">
        <v>3.2</v>
      </c>
      <c r="BG1242" s="247">
        <v>6</v>
      </c>
      <c r="BH1242" s="247">
        <v>8.8000000000000007</v>
      </c>
      <c r="BI1242" s="247">
        <v>12.7</v>
      </c>
      <c r="BJ1242" s="247">
        <v>15.4</v>
      </c>
      <c r="BK1242" s="247">
        <v>13.6</v>
      </c>
      <c r="BL1242" s="247">
        <v>9.6999999999999993</v>
      </c>
      <c r="BM1242" s="247">
        <v>6.1</v>
      </c>
      <c r="BN1242" s="247">
        <v>3.9</v>
      </c>
      <c r="BO1242" s="247">
        <v>2.6</v>
      </c>
      <c r="BP1242" s="248">
        <v>7.2</v>
      </c>
    </row>
    <row r="1243" spans="1:68" ht="14.25" customHeight="1">
      <c r="A1243" s="233">
        <v>586</v>
      </c>
      <c r="B1243" s="234">
        <v>160</v>
      </c>
      <c r="C1243" s="244" t="s">
        <v>928</v>
      </c>
      <c r="D1243" s="244" t="s">
        <v>1273</v>
      </c>
      <c r="E1243" s="244" t="s">
        <v>2624</v>
      </c>
      <c r="F1243" s="245">
        <v>-17.3</v>
      </c>
      <c r="G1243" s="245">
        <v>-15.8</v>
      </c>
      <c r="H1243" s="245">
        <v>-8.9</v>
      </c>
      <c r="I1243" s="245">
        <v>-0.5</v>
      </c>
      <c r="J1243" s="245">
        <v>5.4</v>
      </c>
      <c r="K1243" s="245">
        <v>12.1</v>
      </c>
      <c r="L1243" s="245">
        <v>15.7</v>
      </c>
      <c r="M1243" s="245">
        <v>12.7</v>
      </c>
      <c r="N1243" s="245">
        <v>6.6</v>
      </c>
      <c r="O1243" s="245">
        <v>-1.4</v>
      </c>
      <c r="P1243" s="245">
        <v>-8.5</v>
      </c>
      <c r="Q1243" s="245">
        <v>-13.6</v>
      </c>
      <c r="R1243" s="246">
        <v>-1.1000000000000001</v>
      </c>
      <c r="S1243" s="233">
        <v>160</v>
      </c>
      <c r="T1243" s="247" t="s">
        <v>2625</v>
      </c>
      <c r="U1243" s="245">
        <v>-46</v>
      </c>
      <c r="V1243" s="245">
        <v>-44</v>
      </c>
      <c r="W1243" s="245">
        <v>-41</v>
      </c>
      <c r="X1243" s="245">
        <v>-39</v>
      </c>
      <c r="Y1243" s="245">
        <v>-22</v>
      </c>
      <c r="Z1243" s="245">
        <v>-49</v>
      </c>
      <c r="AA1243" s="245">
        <v>7.4</v>
      </c>
      <c r="AB1243" s="245">
        <v>189</v>
      </c>
      <c r="AC1243" s="245">
        <v>-10.4</v>
      </c>
      <c r="AD1243" s="245">
        <v>261</v>
      </c>
      <c r="AE1243" s="245">
        <v>-6.4</v>
      </c>
      <c r="AF1243" s="245">
        <v>280</v>
      </c>
      <c r="AG1243" s="245">
        <v>-5.4</v>
      </c>
      <c r="AH1243" s="245">
        <v>83</v>
      </c>
      <c r="AI1243" s="245">
        <v>83</v>
      </c>
      <c r="AJ1243" s="245">
        <v>161</v>
      </c>
      <c r="AK1243" s="245" t="s">
        <v>971</v>
      </c>
      <c r="AL1243" s="245">
        <v>4.8</v>
      </c>
      <c r="AM1243" s="246">
        <v>4.0999999999999996</v>
      </c>
      <c r="AN1243" s="235">
        <v>160</v>
      </c>
      <c r="AO1243" s="247" t="s">
        <v>2626</v>
      </c>
      <c r="AP1243" s="247">
        <v>990</v>
      </c>
      <c r="AQ1243" s="247">
        <v>18.899999999999999</v>
      </c>
      <c r="AR1243" s="247">
        <v>23.2</v>
      </c>
      <c r="AS1243" s="247">
        <v>21.3</v>
      </c>
      <c r="AT1243" s="247">
        <v>35</v>
      </c>
      <c r="AU1243" s="247">
        <v>10.7</v>
      </c>
      <c r="AV1243" s="247">
        <v>69</v>
      </c>
      <c r="AW1243" s="247">
        <v>52</v>
      </c>
      <c r="AX1243" s="247">
        <v>379</v>
      </c>
      <c r="AY1243" s="247">
        <v>62</v>
      </c>
      <c r="AZ1243" s="247" t="s">
        <v>1005</v>
      </c>
      <c r="BA1243" s="248">
        <v>3.4</v>
      </c>
      <c r="BB1243" s="235">
        <v>140</v>
      </c>
      <c r="BC1243" s="247" t="s">
        <v>2624</v>
      </c>
      <c r="BD1243" s="247">
        <v>1.7</v>
      </c>
      <c r="BE1243" s="247">
        <v>1.8</v>
      </c>
      <c r="BF1243" s="247">
        <v>2.7</v>
      </c>
      <c r="BG1243" s="247">
        <v>4.2</v>
      </c>
      <c r="BH1243" s="247">
        <v>5.8</v>
      </c>
      <c r="BI1243" s="247">
        <v>9</v>
      </c>
      <c r="BJ1243" s="247">
        <v>12.1</v>
      </c>
      <c r="BK1243" s="247">
        <v>11.4</v>
      </c>
      <c r="BL1243" s="247">
        <v>8.4</v>
      </c>
      <c r="BM1243" s="247">
        <v>5.0999999999999996</v>
      </c>
      <c r="BN1243" s="247">
        <v>3.3</v>
      </c>
      <c r="BO1243" s="247">
        <v>2.2999999999999998</v>
      </c>
      <c r="BP1243" s="248">
        <v>5.6</v>
      </c>
    </row>
    <row r="1244" spans="1:68" ht="14.25" customHeight="1">
      <c r="A1244" s="233">
        <v>587</v>
      </c>
      <c r="B1244" s="234">
        <v>652</v>
      </c>
      <c r="C1244" s="244" t="s">
        <v>953</v>
      </c>
      <c r="D1244" s="244" t="s">
        <v>954</v>
      </c>
      <c r="E1244" s="244" t="s">
        <v>2627</v>
      </c>
      <c r="F1244" s="245">
        <v>0.8</v>
      </c>
      <c r="G1244" s="245">
        <v>1.4</v>
      </c>
      <c r="H1244" s="245">
        <v>4.4000000000000004</v>
      </c>
      <c r="I1244" s="245">
        <v>10.6</v>
      </c>
      <c r="J1244" s="245">
        <v>16.100000000000001</v>
      </c>
      <c r="K1244" s="245">
        <v>20.8</v>
      </c>
      <c r="L1244" s="245">
        <v>23.4</v>
      </c>
      <c r="M1244" s="245">
        <v>22.8</v>
      </c>
      <c r="N1244" s="245">
        <v>18.399999999999999</v>
      </c>
      <c r="O1244" s="245">
        <v>12.4</v>
      </c>
      <c r="P1244" s="245">
        <v>7.8</v>
      </c>
      <c r="Q1244" s="245">
        <v>4.0999999999999996</v>
      </c>
      <c r="R1244" s="246">
        <v>11.9</v>
      </c>
      <c r="S1244" s="233">
        <v>641</v>
      </c>
      <c r="T1244" s="247" t="s">
        <v>2627</v>
      </c>
      <c r="U1244" s="245">
        <v>-22</v>
      </c>
      <c r="V1244" s="245">
        <v>-19</v>
      </c>
      <c r="W1244" s="245">
        <v>-17</v>
      </c>
      <c r="X1244" s="245">
        <v>-15</v>
      </c>
      <c r="Y1244" s="245">
        <v>-2</v>
      </c>
      <c r="Z1244" s="245">
        <v>-25</v>
      </c>
      <c r="AA1244" s="245" t="s">
        <v>956</v>
      </c>
      <c r="AB1244" s="245">
        <v>0</v>
      </c>
      <c r="AC1244" s="245" t="s">
        <v>830</v>
      </c>
      <c r="AD1244" s="245">
        <v>140</v>
      </c>
      <c r="AE1244" s="245">
        <v>3.4</v>
      </c>
      <c r="AF1244" s="245">
        <v>162</v>
      </c>
      <c r="AG1244" s="245">
        <v>4.0999999999999996</v>
      </c>
      <c r="AH1244" s="245" t="s">
        <v>956</v>
      </c>
      <c r="AI1244" s="245" t="s">
        <v>956</v>
      </c>
      <c r="AJ1244" s="245">
        <v>185</v>
      </c>
      <c r="AK1244" s="245" t="s">
        <v>944</v>
      </c>
      <c r="AL1244" s="245">
        <v>6.5</v>
      </c>
      <c r="AM1244" s="246" t="s">
        <v>931</v>
      </c>
      <c r="AN1244" s="235">
        <v>642</v>
      </c>
      <c r="AO1244" s="247" t="s">
        <v>2628</v>
      </c>
      <c r="AP1244" s="247">
        <v>1015</v>
      </c>
      <c r="AQ1244" s="247">
        <v>29</v>
      </c>
      <c r="AR1244" s="247">
        <v>25</v>
      </c>
      <c r="AS1244" s="247">
        <v>27.5</v>
      </c>
      <c r="AT1244" s="247">
        <v>38</v>
      </c>
      <c r="AU1244" s="247" t="s">
        <v>934</v>
      </c>
      <c r="AV1244" s="247" t="s">
        <v>958</v>
      </c>
      <c r="AW1244" s="247" t="s">
        <v>931</v>
      </c>
      <c r="AX1244" s="247" t="s">
        <v>931</v>
      </c>
      <c r="AY1244" s="247">
        <v>109</v>
      </c>
      <c r="AZ1244" s="247" t="s">
        <v>959</v>
      </c>
      <c r="BA1244" s="248">
        <v>2.4</v>
      </c>
      <c r="BB1244" s="235"/>
      <c r="BC1244" s="247" t="s">
        <v>2627</v>
      </c>
      <c r="BD1244" s="247"/>
      <c r="BE1244" s="247"/>
      <c r="BF1244" s="247"/>
      <c r="BG1244" s="247"/>
      <c r="BH1244" s="247"/>
      <c r="BI1244" s="247"/>
      <c r="BJ1244" s="247"/>
      <c r="BK1244" s="247"/>
      <c r="BL1244" s="247"/>
      <c r="BM1244" s="247"/>
      <c r="BN1244" s="247"/>
      <c r="BO1244" s="247"/>
      <c r="BP1244" s="248"/>
    </row>
    <row r="1245" spans="1:68" ht="14.25" customHeight="1">
      <c r="A1245" s="233">
        <v>588</v>
      </c>
      <c r="B1245" s="234">
        <v>605</v>
      </c>
      <c r="C1245" s="244" t="s">
        <v>1015</v>
      </c>
      <c r="D1245" s="244" t="s">
        <v>1741</v>
      </c>
      <c r="E1245" s="244" t="s">
        <v>2629</v>
      </c>
      <c r="F1245" s="245">
        <v>-1.7</v>
      </c>
      <c r="G1245" s="245">
        <v>1.5</v>
      </c>
      <c r="H1245" s="245">
        <v>7.9</v>
      </c>
      <c r="I1245" s="245">
        <v>15.6</v>
      </c>
      <c r="J1245" s="245">
        <v>20.8</v>
      </c>
      <c r="K1245" s="245">
        <v>25</v>
      </c>
      <c r="L1245" s="245">
        <v>26.9</v>
      </c>
      <c r="M1245" s="245">
        <v>25</v>
      </c>
      <c r="N1245" s="245">
        <v>19.7</v>
      </c>
      <c r="O1245" s="245">
        <v>13.1</v>
      </c>
      <c r="P1245" s="245">
        <v>5.7</v>
      </c>
      <c r="Q1245" s="245">
        <v>0.7</v>
      </c>
      <c r="R1245" s="246">
        <v>13.3</v>
      </c>
      <c r="S1245" s="233">
        <v>594</v>
      </c>
      <c r="T1245" s="247" t="s">
        <v>2629</v>
      </c>
      <c r="U1245" s="245">
        <v>-18</v>
      </c>
      <c r="V1245" s="245">
        <v>-15</v>
      </c>
      <c r="W1245" s="245">
        <v>-15</v>
      </c>
      <c r="X1245" s="245" t="s">
        <v>965</v>
      </c>
      <c r="Y1245" s="245">
        <v>-6</v>
      </c>
      <c r="Z1245" s="245" t="s">
        <v>931</v>
      </c>
      <c r="AA1245" s="245">
        <v>9.1</v>
      </c>
      <c r="AB1245" s="245">
        <v>47</v>
      </c>
      <c r="AC1245" s="245" t="s">
        <v>958</v>
      </c>
      <c r="AD1245" s="245">
        <v>132</v>
      </c>
      <c r="AE1245" s="245">
        <v>1.9</v>
      </c>
      <c r="AF1245" s="245" t="s">
        <v>933</v>
      </c>
      <c r="AG1245" s="245" t="s">
        <v>931</v>
      </c>
      <c r="AH1245" s="245" t="s">
        <v>956</v>
      </c>
      <c r="AI1245" s="245" t="s">
        <v>956</v>
      </c>
      <c r="AJ1245" s="245" t="s">
        <v>1018</v>
      </c>
      <c r="AK1245" s="245" t="s">
        <v>931</v>
      </c>
      <c r="AL1245" s="245">
        <v>1.4</v>
      </c>
      <c r="AM1245" s="246" t="s">
        <v>931</v>
      </c>
      <c r="AN1245" s="235">
        <v>595</v>
      </c>
      <c r="AO1245" s="247" t="s">
        <v>2630</v>
      </c>
      <c r="AP1245" s="247">
        <v>950</v>
      </c>
      <c r="AQ1245" s="247">
        <v>32</v>
      </c>
      <c r="AR1245" s="247">
        <v>35.9</v>
      </c>
      <c r="AS1245" s="247">
        <v>34.299999999999997</v>
      </c>
      <c r="AT1245" s="247">
        <v>42</v>
      </c>
      <c r="AU1245" s="247">
        <v>15.4</v>
      </c>
      <c r="AV1245" s="247" t="s">
        <v>958</v>
      </c>
      <c r="AW1245" s="247" t="s">
        <v>931</v>
      </c>
      <c r="AX1245" s="247" t="s">
        <v>931</v>
      </c>
      <c r="AY1245" s="247">
        <v>85</v>
      </c>
      <c r="AZ1245" s="247" t="s">
        <v>933</v>
      </c>
      <c r="BA1245" s="248">
        <v>0</v>
      </c>
      <c r="BB1245" s="235"/>
      <c r="BC1245" s="247" t="s">
        <v>2629</v>
      </c>
      <c r="BD1245" s="247"/>
      <c r="BE1245" s="247"/>
      <c r="BF1245" s="247"/>
      <c r="BG1245" s="247"/>
      <c r="BH1245" s="247"/>
      <c r="BI1245" s="247"/>
      <c r="BJ1245" s="247"/>
      <c r="BK1245" s="247"/>
      <c r="BL1245" s="247"/>
      <c r="BM1245" s="247"/>
      <c r="BN1245" s="247"/>
      <c r="BO1245" s="247"/>
      <c r="BP1245" s="248"/>
    </row>
    <row r="1246" spans="1:68" ht="14.25" customHeight="1">
      <c r="A1246" s="233">
        <v>589</v>
      </c>
      <c r="B1246" s="234">
        <v>525</v>
      </c>
      <c r="C1246" s="244" t="s">
        <v>960</v>
      </c>
      <c r="D1246" s="244" t="s">
        <v>2631</v>
      </c>
      <c r="E1246" s="244" t="s">
        <v>2632</v>
      </c>
      <c r="F1246" s="245">
        <v>-2.9</v>
      </c>
      <c r="G1246" s="245">
        <v>-2.2999999999999998</v>
      </c>
      <c r="H1246" s="245">
        <v>2.5</v>
      </c>
      <c r="I1246" s="245">
        <v>10.4</v>
      </c>
      <c r="J1246" s="245">
        <v>17.7</v>
      </c>
      <c r="K1246" s="245">
        <v>22.8</v>
      </c>
      <c r="L1246" s="245">
        <v>25.6</v>
      </c>
      <c r="M1246" s="245">
        <v>24.6</v>
      </c>
      <c r="N1246" s="245">
        <v>19.5</v>
      </c>
      <c r="O1246" s="245">
        <v>12.3</v>
      </c>
      <c r="P1246" s="245">
        <v>5.5</v>
      </c>
      <c r="Q1246" s="245">
        <v>0.2</v>
      </c>
      <c r="R1246" s="246">
        <v>11.3</v>
      </c>
      <c r="S1246" s="233">
        <v>525</v>
      </c>
      <c r="T1246" s="247" t="s">
        <v>2632</v>
      </c>
      <c r="U1246" s="245">
        <v>-21</v>
      </c>
      <c r="V1246" s="245">
        <v>-19</v>
      </c>
      <c r="W1246" s="245">
        <v>-19</v>
      </c>
      <c r="X1246" s="245">
        <v>-17</v>
      </c>
      <c r="Y1246" s="245" t="s">
        <v>956</v>
      </c>
      <c r="Z1246" s="245" t="s">
        <v>931</v>
      </c>
      <c r="AA1246" s="245">
        <v>4.9000000000000004</v>
      </c>
      <c r="AB1246" s="245">
        <v>79</v>
      </c>
      <c r="AC1246" s="245">
        <v>-2.1</v>
      </c>
      <c r="AD1246" s="245">
        <v>157</v>
      </c>
      <c r="AE1246" s="245">
        <v>0.9</v>
      </c>
      <c r="AF1246" s="245">
        <v>172</v>
      </c>
      <c r="AG1246" s="245">
        <v>1.5</v>
      </c>
      <c r="AH1246" s="245">
        <v>76</v>
      </c>
      <c r="AI1246" s="245" t="s">
        <v>956</v>
      </c>
      <c r="AJ1246" s="245">
        <v>61</v>
      </c>
      <c r="AK1246" s="245" t="s">
        <v>931</v>
      </c>
      <c r="AL1246" s="245" t="s">
        <v>931</v>
      </c>
      <c r="AM1246" s="246" t="s">
        <v>931</v>
      </c>
      <c r="AN1246" s="235">
        <v>525</v>
      </c>
      <c r="AO1246" s="247" t="s">
        <v>2633</v>
      </c>
      <c r="AP1246" s="247">
        <v>1020</v>
      </c>
      <c r="AQ1246" s="247" t="s">
        <v>958</v>
      </c>
      <c r="AR1246" s="247" t="s">
        <v>931</v>
      </c>
      <c r="AS1246" s="247">
        <v>29.5</v>
      </c>
      <c r="AT1246" s="247">
        <v>41</v>
      </c>
      <c r="AU1246" s="247">
        <v>7.7</v>
      </c>
      <c r="AV1246" s="247">
        <v>63</v>
      </c>
      <c r="AW1246" s="247" t="s">
        <v>931</v>
      </c>
      <c r="AX1246" s="247">
        <v>111</v>
      </c>
      <c r="AY1246" s="247" t="s">
        <v>965</v>
      </c>
      <c r="AZ1246" s="247" t="s">
        <v>933</v>
      </c>
      <c r="BA1246" s="248" t="s">
        <v>934</v>
      </c>
      <c r="BB1246" s="235"/>
      <c r="BC1246" s="247" t="s">
        <v>2632</v>
      </c>
      <c r="BD1246" s="247"/>
      <c r="BE1246" s="247"/>
      <c r="BF1246" s="247"/>
      <c r="BG1246" s="247"/>
      <c r="BH1246" s="247"/>
      <c r="BI1246" s="247"/>
      <c r="BJ1246" s="247"/>
      <c r="BK1246" s="247"/>
      <c r="BL1246" s="247"/>
      <c r="BM1246" s="247"/>
      <c r="BN1246" s="247"/>
      <c r="BO1246" s="247"/>
      <c r="BP1246" s="248"/>
    </row>
    <row r="1247" spans="1:68" ht="14.25" customHeight="1">
      <c r="A1247" s="233">
        <v>590</v>
      </c>
      <c r="B1247" s="234">
        <v>513</v>
      </c>
      <c r="C1247" s="244" t="s">
        <v>960</v>
      </c>
      <c r="D1247" s="244" t="s">
        <v>1436</v>
      </c>
      <c r="E1247" s="244" t="s">
        <v>2634</v>
      </c>
      <c r="F1247" s="245">
        <v>-8.6999999999999993</v>
      </c>
      <c r="G1247" s="245">
        <v>-6.6</v>
      </c>
      <c r="H1247" s="245">
        <v>2</v>
      </c>
      <c r="I1247" s="245">
        <v>11.9</v>
      </c>
      <c r="J1247" s="245">
        <v>18.2</v>
      </c>
      <c r="K1247" s="245">
        <v>22.9</v>
      </c>
      <c r="L1247" s="245">
        <v>24.9</v>
      </c>
      <c r="M1247" s="245">
        <v>22.6</v>
      </c>
      <c r="N1247" s="245">
        <v>16.600000000000001</v>
      </c>
      <c r="O1247" s="245">
        <v>9.1</v>
      </c>
      <c r="P1247" s="245">
        <v>0.1</v>
      </c>
      <c r="Q1247" s="245">
        <v>-6.3</v>
      </c>
      <c r="R1247" s="246">
        <v>8.9</v>
      </c>
      <c r="S1247" s="233">
        <v>513</v>
      </c>
      <c r="T1247" s="247" t="s">
        <v>2634</v>
      </c>
      <c r="U1247" s="245">
        <v>-32</v>
      </c>
      <c r="V1247" s="245">
        <v>-29</v>
      </c>
      <c r="W1247" s="245">
        <v>-27</v>
      </c>
      <c r="X1247" s="245">
        <v>-24</v>
      </c>
      <c r="Y1247" s="245" t="s">
        <v>956</v>
      </c>
      <c r="Z1247" s="245" t="s">
        <v>931</v>
      </c>
      <c r="AA1247" s="245">
        <v>10.4</v>
      </c>
      <c r="AB1247" s="245">
        <v>113</v>
      </c>
      <c r="AC1247" s="245">
        <v>-5.6</v>
      </c>
      <c r="AD1247" s="245">
        <v>166</v>
      </c>
      <c r="AE1247" s="245">
        <v>-2.5</v>
      </c>
      <c r="AF1247" s="245">
        <v>179</v>
      </c>
      <c r="AG1247" s="245">
        <v>-1.6</v>
      </c>
      <c r="AH1247" s="245">
        <v>72</v>
      </c>
      <c r="AI1247" s="245" t="s">
        <v>956</v>
      </c>
      <c r="AJ1247" s="245">
        <v>112</v>
      </c>
      <c r="AK1247" s="245" t="s">
        <v>938</v>
      </c>
      <c r="AL1247" s="245">
        <v>4.3</v>
      </c>
      <c r="AM1247" s="246">
        <v>3.3</v>
      </c>
      <c r="AN1247" s="235">
        <v>513</v>
      </c>
      <c r="AO1247" s="247" t="s">
        <v>2635</v>
      </c>
      <c r="AP1247" s="247" t="s">
        <v>965</v>
      </c>
      <c r="AQ1247" s="247" t="s">
        <v>958</v>
      </c>
      <c r="AR1247" s="247" t="s">
        <v>931</v>
      </c>
      <c r="AS1247" s="247">
        <v>33.1</v>
      </c>
      <c r="AT1247" s="247">
        <v>46</v>
      </c>
      <c r="AU1247" s="247">
        <v>17.3</v>
      </c>
      <c r="AV1247" s="247">
        <v>44</v>
      </c>
      <c r="AW1247" s="247" t="s">
        <v>931</v>
      </c>
      <c r="AX1247" s="247">
        <v>104</v>
      </c>
      <c r="AY1247" s="247" t="s">
        <v>965</v>
      </c>
      <c r="AZ1247" s="247" t="s">
        <v>940</v>
      </c>
      <c r="BA1247" s="248">
        <v>3.6</v>
      </c>
      <c r="BB1247" s="235"/>
      <c r="BC1247" s="247" t="s">
        <v>2634</v>
      </c>
      <c r="BD1247" s="247"/>
      <c r="BE1247" s="247"/>
      <c r="BF1247" s="247"/>
      <c r="BG1247" s="247"/>
      <c r="BH1247" s="247"/>
      <c r="BI1247" s="247"/>
      <c r="BJ1247" s="247"/>
      <c r="BK1247" s="247"/>
      <c r="BL1247" s="247"/>
      <c r="BM1247" s="247"/>
      <c r="BN1247" s="247"/>
      <c r="BO1247" s="247"/>
      <c r="BP1247" s="248"/>
    </row>
    <row r="1248" spans="1:68" ht="14.25" customHeight="1">
      <c r="A1248" s="233">
        <v>591</v>
      </c>
      <c r="B1248" s="234">
        <v>367</v>
      </c>
      <c r="C1248" s="244" t="s">
        <v>928</v>
      </c>
      <c r="D1248" s="244" t="s">
        <v>1081</v>
      </c>
      <c r="E1248" s="244" t="s">
        <v>247</v>
      </c>
      <c r="F1248" s="245">
        <v>-22.3</v>
      </c>
      <c r="G1248" s="245">
        <v>-17.2</v>
      </c>
      <c r="H1248" s="245">
        <v>-8.5</v>
      </c>
      <c r="I1248" s="245">
        <v>3.1</v>
      </c>
      <c r="J1248" s="245">
        <v>11.1</v>
      </c>
      <c r="K1248" s="245">
        <v>17.399999999999999</v>
      </c>
      <c r="L1248" s="245">
        <v>21.1</v>
      </c>
      <c r="M1248" s="245">
        <v>20</v>
      </c>
      <c r="N1248" s="245">
        <v>13.9</v>
      </c>
      <c r="O1248" s="245">
        <v>4.7</v>
      </c>
      <c r="P1248" s="245">
        <v>-8.1</v>
      </c>
      <c r="Q1248" s="245">
        <v>-18.5</v>
      </c>
      <c r="R1248" s="246">
        <v>1.4</v>
      </c>
      <c r="S1248" s="233">
        <v>367</v>
      </c>
      <c r="T1248" s="247" t="s">
        <v>2636</v>
      </c>
      <c r="U1248" s="245">
        <v>-37</v>
      </c>
      <c r="V1248" s="245">
        <v>-34</v>
      </c>
      <c r="W1248" s="245">
        <v>-34</v>
      </c>
      <c r="X1248" s="245">
        <v>-31</v>
      </c>
      <c r="Y1248" s="245">
        <v>-27</v>
      </c>
      <c r="Z1248" s="245">
        <v>-43</v>
      </c>
      <c r="AA1248" s="245">
        <v>7.7</v>
      </c>
      <c r="AB1248" s="245">
        <v>162</v>
      </c>
      <c r="AC1248" s="245">
        <v>-13.4</v>
      </c>
      <c r="AD1248" s="245">
        <v>211</v>
      </c>
      <c r="AE1248" s="245">
        <v>-9.3000000000000007</v>
      </c>
      <c r="AF1248" s="245">
        <v>225</v>
      </c>
      <c r="AG1248" s="245">
        <v>-8.1</v>
      </c>
      <c r="AH1248" s="245">
        <v>75</v>
      </c>
      <c r="AI1248" s="245">
        <v>71</v>
      </c>
      <c r="AJ1248" s="245">
        <v>116</v>
      </c>
      <c r="AK1248" s="245" t="s">
        <v>971</v>
      </c>
      <c r="AL1248" s="245">
        <v>5.9</v>
      </c>
      <c r="AM1248" s="246">
        <v>5.3</v>
      </c>
      <c r="AN1248" s="235">
        <v>367</v>
      </c>
      <c r="AO1248" s="247" t="s">
        <v>2637</v>
      </c>
      <c r="AP1248" s="247">
        <v>1000</v>
      </c>
      <c r="AQ1248" s="247">
        <v>23.5</v>
      </c>
      <c r="AR1248" s="247">
        <v>26.9</v>
      </c>
      <c r="AS1248" s="247">
        <v>25.7</v>
      </c>
      <c r="AT1248" s="247">
        <v>40</v>
      </c>
      <c r="AU1248" s="247">
        <v>8.6</v>
      </c>
      <c r="AV1248" s="247">
        <v>78</v>
      </c>
      <c r="AW1248" s="247">
        <v>67</v>
      </c>
      <c r="AX1248" s="247">
        <v>556</v>
      </c>
      <c r="AY1248" s="247">
        <v>99</v>
      </c>
      <c r="AZ1248" s="247" t="s">
        <v>978</v>
      </c>
      <c r="BA1248" s="248">
        <v>4.5999999999999996</v>
      </c>
      <c r="BB1248" s="235">
        <v>332</v>
      </c>
      <c r="BC1248" s="247" t="s">
        <v>247</v>
      </c>
      <c r="BD1248" s="247">
        <v>0.9</v>
      </c>
      <c r="BE1248" s="247">
        <v>1.2</v>
      </c>
      <c r="BF1248" s="247">
        <v>2.4</v>
      </c>
      <c r="BG1248" s="247">
        <v>4.7</v>
      </c>
      <c r="BH1248" s="247">
        <v>8.1</v>
      </c>
      <c r="BI1248" s="247">
        <v>14.4</v>
      </c>
      <c r="BJ1248" s="247">
        <v>19.600000000000001</v>
      </c>
      <c r="BK1248" s="247">
        <v>18.600000000000001</v>
      </c>
      <c r="BL1248" s="247">
        <v>11.9</v>
      </c>
      <c r="BM1248" s="247">
        <v>5.7</v>
      </c>
      <c r="BN1248" s="247">
        <v>2.5</v>
      </c>
      <c r="BO1248" s="247">
        <v>1.2</v>
      </c>
      <c r="BP1248" s="248">
        <v>7.6</v>
      </c>
    </row>
    <row r="1249" spans="1:68" ht="14.25" customHeight="1">
      <c r="A1249" s="233">
        <v>592</v>
      </c>
      <c r="B1249" s="234">
        <v>546</v>
      </c>
      <c r="C1249" s="244" t="s">
        <v>1180</v>
      </c>
      <c r="D1249" s="244" t="s">
        <v>1403</v>
      </c>
      <c r="E1249" s="244" t="s">
        <v>2638</v>
      </c>
      <c r="F1249" s="245">
        <v>-6.8</v>
      </c>
      <c r="G1249" s="245">
        <v>-5.0999999999999996</v>
      </c>
      <c r="H1249" s="245">
        <v>0.3</v>
      </c>
      <c r="I1249" s="245">
        <v>7</v>
      </c>
      <c r="J1249" s="245">
        <v>12.2</v>
      </c>
      <c r="K1249" s="245">
        <v>15.8</v>
      </c>
      <c r="L1249" s="245">
        <v>18.5</v>
      </c>
      <c r="M1249" s="245">
        <v>18</v>
      </c>
      <c r="N1249" s="245">
        <v>13.3</v>
      </c>
      <c r="O1249" s="245">
        <v>6.6</v>
      </c>
      <c r="P1249" s="245">
        <v>0.8</v>
      </c>
      <c r="Q1249" s="245">
        <v>-3.2</v>
      </c>
      <c r="R1249" s="246">
        <v>6.4</v>
      </c>
      <c r="S1249" s="233">
        <v>546</v>
      </c>
      <c r="T1249" s="247" t="s">
        <v>2638</v>
      </c>
      <c r="U1249" s="245">
        <v>-20</v>
      </c>
      <c r="V1249" s="245">
        <v>-19</v>
      </c>
      <c r="W1249" s="245">
        <v>-17</v>
      </c>
      <c r="X1249" s="245">
        <v>-16</v>
      </c>
      <c r="Y1249" s="245" t="s">
        <v>956</v>
      </c>
      <c r="Z1249" s="245" t="s">
        <v>931</v>
      </c>
      <c r="AA1249" s="245" t="s">
        <v>956</v>
      </c>
      <c r="AB1249" s="245" t="s">
        <v>1018</v>
      </c>
      <c r="AC1249" s="245" t="s">
        <v>958</v>
      </c>
      <c r="AD1249" s="245" t="s">
        <v>1018</v>
      </c>
      <c r="AE1249" s="245" t="s">
        <v>931</v>
      </c>
      <c r="AF1249" s="245" t="s">
        <v>933</v>
      </c>
      <c r="AG1249" s="245" t="s">
        <v>931</v>
      </c>
      <c r="AH1249" s="245" t="s">
        <v>956</v>
      </c>
      <c r="AI1249" s="245">
        <v>52</v>
      </c>
      <c r="AJ1249" s="245">
        <v>233</v>
      </c>
      <c r="AK1249" s="245" t="s">
        <v>931</v>
      </c>
      <c r="AL1249" s="245" t="s">
        <v>931</v>
      </c>
      <c r="AM1249" s="246" t="s">
        <v>931</v>
      </c>
      <c r="AN1249" s="235">
        <v>546</v>
      </c>
      <c r="AO1249" s="247" t="s">
        <v>2639</v>
      </c>
      <c r="AP1249" s="247" t="s">
        <v>965</v>
      </c>
      <c r="AQ1249" s="247" t="s">
        <v>958</v>
      </c>
      <c r="AR1249" s="247" t="s">
        <v>931</v>
      </c>
      <c r="AS1249" s="247" t="s">
        <v>958</v>
      </c>
      <c r="AT1249" s="247">
        <v>33</v>
      </c>
      <c r="AU1249" s="247" t="s">
        <v>934</v>
      </c>
      <c r="AV1249" s="247">
        <v>42</v>
      </c>
      <c r="AW1249" s="247">
        <v>32</v>
      </c>
      <c r="AX1249" s="247">
        <v>323</v>
      </c>
      <c r="AY1249" s="247">
        <v>54</v>
      </c>
      <c r="AZ1249" s="247" t="s">
        <v>933</v>
      </c>
      <c r="BA1249" s="248" t="s">
        <v>934</v>
      </c>
      <c r="BB1249" s="235"/>
      <c r="BC1249" s="247" t="s">
        <v>2638</v>
      </c>
      <c r="BD1249" s="247"/>
      <c r="BE1249" s="247"/>
      <c r="BF1249" s="247"/>
      <c r="BG1249" s="247"/>
      <c r="BH1249" s="247"/>
      <c r="BI1249" s="247"/>
      <c r="BJ1249" s="247"/>
      <c r="BK1249" s="247"/>
      <c r="BL1249" s="247"/>
      <c r="BM1249" s="247"/>
      <c r="BN1249" s="247"/>
      <c r="BO1249" s="247"/>
      <c r="BP1249" s="248"/>
    </row>
    <row r="1250" spans="1:68" ht="14.25" customHeight="1">
      <c r="A1250" s="233">
        <v>593</v>
      </c>
      <c r="B1250" s="234">
        <v>339</v>
      </c>
      <c r="C1250" s="244" t="s">
        <v>928</v>
      </c>
      <c r="D1250" s="244" t="s">
        <v>1161</v>
      </c>
      <c r="E1250" s="244" t="s">
        <v>2640</v>
      </c>
      <c r="F1250" s="245">
        <v>-21.7</v>
      </c>
      <c r="G1250" s="245">
        <v>-19.399999999999999</v>
      </c>
      <c r="H1250" s="245">
        <v>-9.8000000000000007</v>
      </c>
      <c r="I1250" s="245">
        <v>-1.3</v>
      </c>
      <c r="J1250" s="245">
        <v>6.4</v>
      </c>
      <c r="K1250" s="245">
        <v>13.1</v>
      </c>
      <c r="L1250" s="245">
        <v>17.8</v>
      </c>
      <c r="M1250" s="245">
        <v>13.3</v>
      </c>
      <c r="N1250" s="245">
        <v>8</v>
      </c>
      <c r="O1250" s="245">
        <v>-1.9</v>
      </c>
      <c r="P1250" s="245">
        <v>-10.7</v>
      </c>
      <c r="Q1250" s="245">
        <v>-17.100000000000001</v>
      </c>
      <c r="R1250" s="246">
        <v>-1.9</v>
      </c>
      <c r="S1250" s="233">
        <v>339</v>
      </c>
      <c r="T1250" s="247" t="s">
        <v>2641</v>
      </c>
      <c r="U1250" s="245">
        <v>-47</v>
      </c>
      <c r="V1250" s="245">
        <v>-45</v>
      </c>
      <c r="W1250" s="245">
        <v>-45</v>
      </c>
      <c r="X1250" s="245">
        <v>-41</v>
      </c>
      <c r="Y1250" s="245">
        <v>-27</v>
      </c>
      <c r="Z1250" s="245">
        <v>-49</v>
      </c>
      <c r="AA1250" s="245">
        <v>8.6999999999999993</v>
      </c>
      <c r="AB1250" s="245">
        <v>192</v>
      </c>
      <c r="AC1250" s="245">
        <v>-12.6</v>
      </c>
      <c r="AD1250" s="245">
        <v>250</v>
      </c>
      <c r="AE1250" s="245">
        <v>-8.8000000000000007</v>
      </c>
      <c r="AF1250" s="245">
        <v>270</v>
      </c>
      <c r="AG1250" s="245">
        <v>-7.4</v>
      </c>
      <c r="AH1250" s="245">
        <v>82</v>
      </c>
      <c r="AI1250" s="245">
        <v>81</v>
      </c>
      <c r="AJ1250" s="245">
        <v>139</v>
      </c>
      <c r="AK1250" s="245" t="s">
        <v>971</v>
      </c>
      <c r="AL1250" s="245">
        <v>6.9</v>
      </c>
      <c r="AM1250" s="246" t="s">
        <v>931</v>
      </c>
      <c r="AN1250" s="235">
        <v>339</v>
      </c>
      <c r="AO1250" s="247" t="s">
        <v>2642</v>
      </c>
      <c r="AP1250" s="247">
        <v>1005</v>
      </c>
      <c r="AQ1250" s="247">
        <v>20.2</v>
      </c>
      <c r="AR1250" s="247">
        <v>24.5</v>
      </c>
      <c r="AS1250" s="247">
        <v>22.6</v>
      </c>
      <c r="AT1250" s="247">
        <v>34</v>
      </c>
      <c r="AU1250" s="247">
        <v>9.1999999999999993</v>
      </c>
      <c r="AV1250" s="247">
        <v>70</v>
      </c>
      <c r="AW1250" s="247">
        <v>60</v>
      </c>
      <c r="AX1250" s="247">
        <v>428</v>
      </c>
      <c r="AY1250" s="247">
        <v>52</v>
      </c>
      <c r="AZ1250" s="247" t="s">
        <v>940</v>
      </c>
      <c r="BA1250" s="248">
        <v>4.9000000000000004</v>
      </c>
      <c r="BB1250" s="235">
        <v>307</v>
      </c>
      <c r="BC1250" s="247" t="s">
        <v>2640</v>
      </c>
      <c r="BD1250" s="247">
        <v>1.2</v>
      </c>
      <c r="BE1250" s="247">
        <v>1.3</v>
      </c>
      <c r="BF1250" s="247">
        <v>2.5</v>
      </c>
      <c r="BG1250" s="247">
        <v>4.0999999999999996</v>
      </c>
      <c r="BH1250" s="247">
        <v>6.3</v>
      </c>
      <c r="BI1250" s="247">
        <v>10.4</v>
      </c>
      <c r="BJ1250" s="247">
        <v>14.8</v>
      </c>
      <c r="BK1250" s="247">
        <v>12.3</v>
      </c>
      <c r="BL1250" s="247">
        <v>9</v>
      </c>
      <c r="BM1250" s="247">
        <v>4.8</v>
      </c>
      <c r="BN1250" s="247">
        <v>2.8</v>
      </c>
      <c r="BO1250" s="247">
        <v>1.7</v>
      </c>
      <c r="BP1250" s="248">
        <v>5.9</v>
      </c>
    </row>
    <row r="1251" spans="1:68" ht="14.25" customHeight="1">
      <c r="A1251" s="233">
        <v>594</v>
      </c>
      <c r="B1251" s="234">
        <v>640</v>
      </c>
      <c r="C1251" s="244" t="s">
        <v>953</v>
      </c>
      <c r="D1251" s="244" t="s">
        <v>1870</v>
      </c>
      <c r="E1251" s="244" t="s">
        <v>2643</v>
      </c>
      <c r="F1251" s="245">
        <v>-7</v>
      </c>
      <c r="G1251" s="245">
        <v>-5.7</v>
      </c>
      <c r="H1251" s="245">
        <v>-0.3</v>
      </c>
      <c r="I1251" s="245">
        <v>8.9</v>
      </c>
      <c r="J1251" s="245">
        <v>15.6</v>
      </c>
      <c r="K1251" s="245">
        <v>19</v>
      </c>
      <c r="L1251" s="245">
        <v>20.399999999999999</v>
      </c>
      <c r="M1251" s="245">
        <v>19.5</v>
      </c>
      <c r="N1251" s="245">
        <v>14.1</v>
      </c>
      <c r="O1251" s="245">
        <v>7.3</v>
      </c>
      <c r="P1251" s="245">
        <v>1.3</v>
      </c>
      <c r="Q1251" s="245">
        <v>-3.3</v>
      </c>
      <c r="R1251" s="246">
        <v>7.5</v>
      </c>
      <c r="S1251" s="233">
        <v>629</v>
      </c>
      <c r="T1251" s="247" t="s">
        <v>2643</v>
      </c>
      <c r="U1251" s="245">
        <v>-31</v>
      </c>
      <c r="V1251" s="245">
        <v>-28</v>
      </c>
      <c r="W1251" s="245">
        <v>-26</v>
      </c>
      <c r="X1251" s="245">
        <v>-23</v>
      </c>
      <c r="Y1251" s="245">
        <v>-11</v>
      </c>
      <c r="Z1251" s="245">
        <v>-36</v>
      </c>
      <c r="AA1251" s="245" t="s">
        <v>956</v>
      </c>
      <c r="AB1251" s="245">
        <v>113</v>
      </c>
      <c r="AC1251" s="245">
        <v>-4.5999999999999996</v>
      </c>
      <c r="AD1251" s="245">
        <v>179</v>
      </c>
      <c r="AE1251" s="245">
        <v>-1.5</v>
      </c>
      <c r="AF1251" s="245">
        <v>194</v>
      </c>
      <c r="AG1251" s="245">
        <v>-0.7</v>
      </c>
      <c r="AH1251" s="245" t="s">
        <v>956</v>
      </c>
      <c r="AI1251" s="245" t="s">
        <v>956</v>
      </c>
      <c r="AJ1251" s="245">
        <v>192</v>
      </c>
      <c r="AK1251" s="245" t="s">
        <v>982</v>
      </c>
      <c r="AL1251" s="245">
        <v>6.5</v>
      </c>
      <c r="AM1251" s="246" t="s">
        <v>931</v>
      </c>
      <c r="AN1251" s="235">
        <v>630</v>
      </c>
      <c r="AO1251" s="247" t="s">
        <v>2644</v>
      </c>
      <c r="AP1251" s="247">
        <v>1000</v>
      </c>
      <c r="AQ1251" s="247">
        <v>29</v>
      </c>
      <c r="AR1251" s="247">
        <v>25</v>
      </c>
      <c r="AS1251" s="247">
        <v>26.4</v>
      </c>
      <c r="AT1251" s="247">
        <v>39</v>
      </c>
      <c r="AU1251" s="247" t="s">
        <v>934</v>
      </c>
      <c r="AV1251" s="247" t="s">
        <v>958</v>
      </c>
      <c r="AW1251" s="247" t="s">
        <v>931</v>
      </c>
      <c r="AX1251" s="247" t="s">
        <v>931</v>
      </c>
      <c r="AY1251" s="247">
        <v>83</v>
      </c>
      <c r="AZ1251" s="247" t="s">
        <v>1005</v>
      </c>
      <c r="BA1251" s="248">
        <v>1.2</v>
      </c>
      <c r="BB1251" s="235"/>
      <c r="BC1251" s="247" t="s">
        <v>2643</v>
      </c>
      <c r="BD1251" s="247"/>
      <c r="BE1251" s="247"/>
      <c r="BF1251" s="247"/>
      <c r="BG1251" s="247"/>
      <c r="BH1251" s="247"/>
      <c r="BI1251" s="247"/>
      <c r="BJ1251" s="247"/>
      <c r="BK1251" s="247"/>
      <c r="BL1251" s="247"/>
      <c r="BM1251" s="247"/>
      <c r="BN1251" s="247"/>
      <c r="BO1251" s="247"/>
      <c r="BP1251" s="248"/>
    </row>
    <row r="1252" spans="1:68" ht="14.25" customHeight="1">
      <c r="A1252" s="233">
        <v>595</v>
      </c>
      <c r="B1252" s="234">
        <v>192</v>
      </c>
      <c r="C1252" s="244" t="s">
        <v>928</v>
      </c>
      <c r="D1252" s="244" t="s">
        <v>935</v>
      </c>
      <c r="E1252" s="244" t="s">
        <v>2645</v>
      </c>
      <c r="F1252" s="245">
        <v>-33.1</v>
      </c>
      <c r="G1252" s="245">
        <v>-31.7</v>
      </c>
      <c r="H1252" s="245">
        <v>-27.8</v>
      </c>
      <c r="I1252" s="245">
        <v>-18</v>
      </c>
      <c r="J1252" s="245">
        <v>-7</v>
      </c>
      <c r="K1252" s="245">
        <v>5.2</v>
      </c>
      <c r="L1252" s="245">
        <v>12.7</v>
      </c>
      <c r="M1252" s="245">
        <v>9</v>
      </c>
      <c r="N1252" s="245">
        <v>1.7</v>
      </c>
      <c r="O1252" s="245">
        <v>-12</v>
      </c>
      <c r="P1252" s="245">
        <v>-26.4</v>
      </c>
      <c r="Q1252" s="245">
        <v>-29.6</v>
      </c>
      <c r="R1252" s="246">
        <v>-13.1</v>
      </c>
      <c r="S1252" s="233">
        <v>192</v>
      </c>
      <c r="T1252" s="247" t="s">
        <v>2646</v>
      </c>
      <c r="U1252" s="245">
        <v>-55</v>
      </c>
      <c r="V1252" s="245">
        <v>-52</v>
      </c>
      <c r="W1252" s="245">
        <v>-52</v>
      </c>
      <c r="X1252" s="245">
        <v>-49</v>
      </c>
      <c r="Y1252" s="245">
        <v>-38</v>
      </c>
      <c r="Z1252" s="245">
        <v>-59</v>
      </c>
      <c r="AA1252" s="245">
        <v>8.3000000000000007</v>
      </c>
      <c r="AB1252" s="245">
        <v>256</v>
      </c>
      <c r="AC1252" s="245">
        <v>-21.6</v>
      </c>
      <c r="AD1252" s="245">
        <v>311</v>
      </c>
      <c r="AE1252" s="245">
        <v>-17.100000000000001</v>
      </c>
      <c r="AF1252" s="245">
        <v>331</v>
      </c>
      <c r="AG1252" s="245">
        <v>-15.4</v>
      </c>
      <c r="AH1252" s="245">
        <v>79</v>
      </c>
      <c r="AI1252" s="245">
        <v>79</v>
      </c>
      <c r="AJ1252" s="245">
        <v>91</v>
      </c>
      <c r="AK1252" s="245" t="s">
        <v>971</v>
      </c>
      <c r="AL1252" s="245">
        <v>5.8</v>
      </c>
      <c r="AM1252" s="246">
        <v>4.8</v>
      </c>
      <c r="AN1252" s="235">
        <v>192</v>
      </c>
      <c r="AO1252" s="247" t="s">
        <v>2647</v>
      </c>
      <c r="AP1252" s="247">
        <v>1010</v>
      </c>
      <c r="AQ1252" s="247">
        <v>15.2</v>
      </c>
      <c r="AR1252" s="247">
        <v>19.7</v>
      </c>
      <c r="AS1252" s="247">
        <v>17.600000000000001</v>
      </c>
      <c r="AT1252" s="247">
        <v>37</v>
      </c>
      <c r="AU1252" s="247">
        <v>9</v>
      </c>
      <c r="AV1252" s="247">
        <v>69</v>
      </c>
      <c r="AW1252" s="247">
        <v>61</v>
      </c>
      <c r="AX1252" s="247">
        <v>264</v>
      </c>
      <c r="AY1252" s="247" t="s">
        <v>965</v>
      </c>
      <c r="AZ1252" s="247" t="s">
        <v>940</v>
      </c>
      <c r="BA1252" s="248">
        <v>5.2</v>
      </c>
      <c r="BB1252" s="235"/>
      <c r="BC1252" s="247" t="s">
        <v>2645</v>
      </c>
      <c r="BD1252" s="247"/>
      <c r="BE1252" s="247"/>
      <c r="BF1252" s="247"/>
      <c r="BG1252" s="247"/>
      <c r="BH1252" s="247"/>
      <c r="BI1252" s="247"/>
      <c r="BJ1252" s="247"/>
      <c r="BK1252" s="247"/>
      <c r="BL1252" s="247"/>
      <c r="BM1252" s="247"/>
      <c r="BN1252" s="247"/>
      <c r="BO1252" s="247"/>
      <c r="BP1252" s="248"/>
    </row>
    <row r="1253" spans="1:68" ht="14.25" customHeight="1">
      <c r="A1253" s="233">
        <v>596</v>
      </c>
      <c r="B1253" s="234">
        <v>643</v>
      </c>
      <c r="C1253" s="244" t="s">
        <v>953</v>
      </c>
      <c r="D1253" s="244" t="s">
        <v>1050</v>
      </c>
      <c r="E1253" s="244" t="s">
        <v>2648</v>
      </c>
      <c r="F1253" s="245">
        <v>-3</v>
      </c>
      <c r="G1253" s="245">
        <v>-1.8</v>
      </c>
      <c r="H1253" s="245">
        <v>2.2999999999999998</v>
      </c>
      <c r="I1253" s="245">
        <v>10</v>
      </c>
      <c r="J1253" s="245">
        <v>16</v>
      </c>
      <c r="K1253" s="245">
        <v>19.899999999999999</v>
      </c>
      <c r="L1253" s="245">
        <v>21.9</v>
      </c>
      <c r="M1253" s="245">
        <v>21.3</v>
      </c>
      <c r="N1253" s="245">
        <v>16.399999999999999</v>
      </c>
      <c r="O1253" s="245">
        <v>9.8000000000000007</v>
      </c>
      <c r="P1253" s="245">
        <v>4.5</v>
      </c>
      <c r="Q1253" s="245">
        <v>0.1</v>
      </c>
      <c r="R1253" s="246">
        <v>9.8000000000000007</v>
      </c>
      <c r="S1253" s="233">
        <v>632</v>
      </c>
      <c r="T1253" s="247" t="s">
        <v>2648</v>
      </c>
      <c r="U1253" s="245">
        <v>-27</v>
      </c>
      <c r="V1253" s="245">
        <v>-23</v>
      </c>
      <c r="W1253" s="245">
        <v>-23</v>
      </c>
      <c r="X1253" s="245">
        <v>-19</v>
      </c>
      <c r="Y1253" s="245">
        <v>-7</v>
      </c>
      <c r="Z1253" s="245">
        <v>-32</v>
      </c>
      <c r="AA1253" s="245" t="s">
        <v>956</v>
      </c>
      <c r="AB1253" s="245">
        <v>77</v>
      </c>
      <c r="AC1253" s="245">
        <v>-2.1</v>
      </c>
      <c r="AD1253" s="245">
        <v>163</v>
      </c>
      <c r="AE1253" s="245">
        <v>1</v>
      </c>
      <c r="AF1253" s="245">
        <v>180</v>
      </c>
      <c r="AG1253" s="245">
        <v>1.8</v>
      </c>
      <c r="AH1253" s="245" t="s">
        <v>956</v>
      </c>
      <c r="AI1253" s="245" t="s">
        <v>956</v>
      </c>
      <c r="AJ1253" s="245">
        <v>165</v>
      </c>
      <c r="AK1253" s="245" t="s">
        <v>982</v>
      </c>
      <c r="AL1253" s="245" t="s">
        <v>931</v>
      </c>
      <c r="AM1253" s="246" t="s">
        <v>931</v>
      </c>
      <c r="AN1253" s="235">
        <v>633</v>
      </c>
      <c r="AO1253" s="247" t="s">
        <v>2649</v>
      </c>
      <c r="AP1253" s="247">
        <v>1010</v>
      </c>
      <c r="AQ1253" s="247">
        <v>30</v>
      </c>
      <c r="AR1253" s="247">
        <v>26</v>
      </c>
      <c r="AS1253" s="247">
        <v>28</v>
      </c>
      <c r="AT1253" s="247">
        <v>39</v>
      </c>
      <c r="AU1253" s="247" t="s">
        <v>934</v>
      </c>
      <c r="AV1253" s="247" t="s">
        <v>958</v>
      </c>
      <c r="AW1253" s="247" t="s">
        <v>931</v>
      </c>
      <c r="AX1253" s="247" t="s">
        <v>931</v>
      </c>
      <c r="AY1253" s="247">
        <v>86</v>
      </c>
      <c r="AZ1253" s="247" t="s">
        <v>1005</v>
      </c>
      <c r="BA1253" s="248">
        <v>2.2999999999999998</v>
      </c>
      <c r="BB1253" s="235"/>
      <c r="BC1253" s="247" t="s">
        <v>2648</v>
      </c>
      <c r="BD1253" s="247"/>
      <c r="BE1253" s="247"/>
      <c r="BF1253" s="247"/>
      <c r="BG1253" s="247"/>
      <c r="BH1253" s="247"/>
      <c r="BI1253" s="247"/>
      <c r="BJ1253" s="247"/>
      <c r="BK1253" s="247"/>
      <c r="BL1253" s="247"/>
      <c r="BM1253" s="247"/>
      <c r="BN1253" s="247"/>
      <c r="BO1253" s="247"/>
      <c r="BP1253" s="248"/>
    </row>
    <row r="1254" spans="1:68" ht="14.25" customHeight="1">
      <c r="A1254" s="233">
        <v>597</v>
      </c>
      <c r="B1254" s="234">
        <v>644</v>
      </c>
      <c r="C1254" s="244" t="s">
        <v>953</v>
      </c>
      <c r="D1254" s="244" t="s">
        <v>2650</v>
      </c>
      <c r="E1254" s="244" t="s">
        <v>2651</v>
      </c>
      <c r="F1254" s="245">
        <v>-5.5</v>
      </c>
      <c r="G1254" s="245">
        <v>-4</v>
      </c>
      <c r="H1254" s="245">
        <v>0.3</v>
      </c>
      <c r="I1254" s="245">
        <v>7.8</v>
      </c>
      <c r="J1254" s="245">
        <v>13.9</v>
      </c>
      <c r="K1254" s="245">
        <v>16.8</v>
      </c>
      <c r="L1254" s="245">
        <v>18</v>
      </c>
      <c r="M1254" s="245">
        <v>17.399999999999999</v>
      </c>
      <c r="N1254" s="245">
        <v>13.2</v>
      </c>
      <c r="O1254" s="245">
        <v>7.6</v>
      </c>
      <c r="P1254" s="245">
        <v>2</v>
      </c>
      <c r="Q1254" s="245">
        <v>-2.6</v>
      </c>
      <c r="R1254" s="246">
        <v>7.1</v>
      </c>
      <c r="S1254" s="233">
        <v>633</v>
      </c>
      <c r="T1254" s="247" t="s">
        <v>2651</v>
      </c>
      <c r="U1254" s="245">
        <v>-26</v>
      </c>
      <c r="V1254" s="245">
        <v>-25</v>
      </c>
      <c r="W1254" s="245">
        <v>-22</v>
      </c>
      <c r="X1254" s="245">
        <v>-21</v>
      </c>
      <c r="Y1254" s="245">
        <v>-9</v>
      </c>
      <c r="Z1254" s="245">
        <v>-32</v>
      </c>
      <c r="AA1254" s="245" t="s">
        <v>956</v>
      </c>
      <c r="AB1254" s="245">
        <v>106</v>
      </c>
      <c r="AC1254" s="245">
        <v>-3.6</v>
      </c>
      <c r="AD1254" s="245">
        <v>181</v>
      </c>
      <c r="AE1254" s="245">
        <v>-0.5</v>
      </c>
      <c r="AF1254" s="245">
        <v>200</v>
      </c>
      <c r="AG1254" s="245">
        <v>0.4</v>
      </c>
      <c r="AH1254" s="245" t="s">
        <v>956</v>
      </c>
      <c r="AI1254" s="245" t="s">
        <v>956</v>
      </c>
      <c r="AJ1254" s="245">
        <v>195</v>
      </c>
      <c r="AK1254" s="245" t="s">
        <v>990</v>
      </c>
      <c r="AL1254" s="245" t="s">
        <v>931</v>
      </c>
      <c r="AM1254" s="246" t="s">
        <v>931</v>
      </c>
      <c r="AN1254" s="235">
        <v>634</v>
      </c>
      <c r="AO1254" s="247" t="s">
        <v>2652</v>
      </c>
      <c r="AP1254" s="247">
        <v>980</v>
      </c>
      <c r="AQ1254" s="247">
        <v>26</v>
      </c>
      <c r="AR1254" s="247">
        <v>20</v>
      </c>
      <c r="AS1254" s="247">
        <v>23.7</v>
      </c>
      <c r="AT1254" s="247">
        <v>37</v>
      </c>
      <c r="AU1254" s="247" t="s">
        <v>934</v>
      </c>
      <c r="AV1254" s="247" t="s">
        <v>958</v>
      </c>
      <c r="AW1254" s="247" t="s">
        <v>931</v>
      </c>
      <c r="AX1254" s="247" t="s">
        <v>2426</v>
      </c>
      <c r="AY1254" s="247">
        <v>106</v>
      </c>
      <c r="AZ1254" s="247" t="s">
        <v>959</v>
      </c>
      <c r="BA1254" s="248">
        <v>1.4</v>
      </c>
      <c r="BB1254" s="235"/>
      <c r="BC1254" s="247" t="s">
        <v>2651</v>
      </c>
      <c r="BD1254" s="247"/>
      <c r="BE1254" s="247"/>
      <c r="BF1254" s="247"/>
      <c r="BG1254" s="247"/>
      <c r="BH1254" s="247"/>
      <c r="BI1254" s="247"/>
      <c r="BJ1254" s="247"/>
      <c r="BK1254" s="247"/>
      <c r="BL1254" s="247"/>
      <c r="BM1254" s="247"/>
      <c r="BN1254" s="247"/>
      <c r="BO1254" s="247"/>
      <c r="BP1254" s="248"/>
    </row>
    <row r="1255" spans="1:68" ht="14.25" customHeight="1">
      <c r="A1255" s="233">
        <v>598</v>
      </c>
      <c r="B1255" s="234">
        <v>455</v>
      </c>
      <c r="C1255" s="244" t="s">
        <v>928</v>
      </c>
      <c r="D1255" s="244" t="s">
        <v>1257</v>
      </c>
      <c r="E1255" s="244" t="s">
        <v>2653</v>
      </c>
      <c r="F1255" s="245">
        <v>-15.5</v>
      </c>
      <c r="G1255" s="245">
        <v>-16.899999999999999</v>
      </c>
      <c r="H1255" s="245">
        <v>-14.6</v>
      </c>
      <c r="I1255" s="245">
        <v>-8.6</v>
      </c>
      <c r="J1255" s="245">
        <v>-2.9</v>
      </c>
      <c r="K1255" s="245">
        <v>-2.5</v>
      </c>
      <c r="L1255" s="245">
        <v>8.3000000000000007</v>
      </c>
      <c r="M1255" s="245">
        <v>8.4</v>
      </c>
      <c r="N1255" s="245">
        <v>5.0999999999999996</v>
      </c>
      <c r="O1255" s="245">
        <v>-1</v>
      </c>
      <c r="P1255" s="245">
        <v>-6.9</v>
      </c>
      <c r="Q1255" s="245">
        <v>-11.7</v>
      </c>
      <c r="R1255" s="246">
        <v>-4.5</v>
      </c>
      <c r="S1255" s="233">
        <v>455</v>
      </c>
      <c r="T1255" s="247" t="s">
        <v>2653</v>
      </c>
      <c r="U1255" s="245">
        <v>-39</v>
      </c>
      <c r="V1255" s="245">
        <v>-37</v>
      </c>
      <c r="W1255" s="245">
        <v>-34</v>
      </c>
      <c r="X1255" s="245">
        <v>-32</v>
      </c>
      <c r="Y1255" s="245">
        <v>-22</v>
      </c>
      <c r="Z1255" s="245">
        <v>-40</v>
      </c>
      <c r="AA1255" s="245">
        <v>8.6</v>
      </c>
      <c r="AB1255" s="245">
        <v>181</v>
      </c>
      <c r="AC1255" s="245">
        <v>-8.4</v>
      </c>
      <c r="AD1255" s="245">
        <v>330</v>
      </c>
      <c r="AE1255" s="245">
        <v>-6.2</v>
      </c>
      <c r="AF1255" s="245">
        <v>365</v>
      </c>
      <c r="AG1255" s="245">
        <v>-4.5</v>
      </c>
      <c r="AH1255" s="245">
        <v>86</v>
      </c>
      <c r="AI1255" s="245">
        <v>86</v>
      </c>
      <c r="AJ1255" s="245">
        <v>167</v>
      </c>
      <c r="AK1255" s="245" t="s">
        <v>971</v>
      </c>
      <c r="AL1255" s="245" t="s">
        <v>931</v>
      </c>
      <c r="AM1255" s="246">
        <v>6.6</v>
      </c>
      <c r="AN1255" s="235">
        <v>455</v>
      </c>
      <c r="AO1255" s="247" t="s">
        <v>2654</v>
      </c>
      <c r="AP1255" s="247">
        <v>1010</v>
      </c>
      <c r="AQ1255" s="247">
        <v>9.3000000000000007</v>
      </c>
      <c r="AR1255" s="247">
        <v>14.1</v>
      </c>
      <c r="AS1255" s="247">
        <v>11.1</v>
      </c>
      <c r="AT1255" s="247">
        <v>29</v>
      </c>
      <c r="AU1255" s="247">
        <v>5.7</v>
      </c>
      <c r="AV1255" s="247">
        <v>89</v>
      </c>
      <c r="AW1255" s="247">
        <v>83</v>
      </c>
      <c r="AX1255" s="247">
        <v>275</v>
      </c>
      <c r="AY1255" s="247">
        <v>42</v>
      </c>
      <c r="AZ1255" s="247" t="s">
        <v>940</v>
      </c>
      <c r="BA1255" s="248" t="s">
        <v>934</v>
      </c>
      <c r="BB1255" s="235">
        <v>417</v>
      </c>
      <c r="BC1255" s="247" t="s">
        <v>2653</v>
      </c>
      <c r="BD1255" s="247">
        <v>1.9</v>
      </c>
      <c r="BE1255" s="247">
        <v>1.8</v>
      </c>
      <c r="BF1255" s="247">
        <v>2.1</v>
      </c>
      <c r="BG1255" s="247">
        <v>3.2</v>
      </c>
      <c r="BH1255" s="247">
        <v>4.5</v>
      </c>
      <c r="BI1255" s="247">
        <v>6.7</v>
      </c>
      <c r="BJ1255" s="247">
        <v>9.8000000000000007</v>
      </c>
      <c r="BK1255" s="247">
        <v>10</v>
      </c>
      <c r="BL1255" s="247">
        <v>7.9</v>
      </c>
      <c r="BM1255" s="247">
        <v>5.2</v>
      </c>
      <c r="BN1255" s="247">
        <v>3.6</v>
      </c>
      <c r="BO1255" s="247">
        <v>2.6</v>
      </c>
      <c r="BP1255" s="248">
        <v>4.9000000000000004</v>
      </c>
    </row>
    <row r="1256" spans="1:68" ht="14.25" customHeight="1">
      <c r="A1256" s="233">
        <v>599</v>
      </c>
      <c r="B1256" s="234">
        <v>299</v>
      </c>
      <c r="C1256" s="244" t="s">
        <v>928</v>
      </c>
      <c r="D1256" s="244" t="s">
        <v>992</v>
      </c>
      <c r="E1256" s="244" t="s">
        <v>2655</v>
      </c>
      <c r="F1256" s="245">
        <v>-9.6999999999999993</v>
      </c>
      <c r="G1256" s="245">
        <v>-8.6999999999999993</v>
      </c>
      <c r="H1256" s="245">
        <v>-4.2</v>
      </c>
      <c r="I1256" s="245">
        <v>2.2999999999999998</v>
      </c>
      <c r="J1256" s="245">
        <v>6.9</v>
      </c>
      <c r="K1256" s="245">
        <v>11.4</v>
      </c>
      <c r="L1256" s="245">
        <v>15.7</v>
      </c>
      <c r="M1256" s="245">
        <v>17.7</v>
      </c>
      <c r="N1256" s="245">
        <v>14.2</v>
      </c>
      <c r="O1256" s="245">
        <v>7.8</v>
      </c>
      <c r="P1256" s="245">
        <v>0</v>
      </c>
      <c r="Q1256" s="245">
        <v>-6.1</v>
      </c>
      <c r="R1256" s="246">
        <v>3.9</v>
      </c>
      <c r="S1256" s="233">
        <v>299</v>
      </c>
      <c r="T1256" s="247" t="s">
        <v>2656</v>
      </c>
      <c r="U1256" s="245">
        <v>-22</v>
      </c>
      <c r="V1256" s="245">
        <v>-21</v>
      </c>
      <c r="W1256" s="245">
        <v>-19</v>
      </c>
      <c r="X1256" s="245">
        <v>-18</v>
      </c>
      <c r="Y1256" s="245">
        <v>-15</v>
      </c>
      <c r="Z1256" s="245">
        <v>-25</v>
      </c>
      <c r="AA1256" s="245">
        <v>5.9</v>
      </c>
      <c r="AB1256" s="245">
        <v>140</v>
      </c>
      <c r="AC1256" s="245">
        <v>-6</v>
      </c>
      <c r="AD1256" s="245">
        <v>220</v>
      </c>
      <c r="AE1256" s="245">
        <v>-2.2999999999999998</v>
      </c>
      <c r="AF1256" s="245">
        <v>244</v>
      </c>
      <c r="AG1256" s="245">
        <v>-1.2</v>
      </c>
      <c r="AH1256" s="245">
        <v>75</v>
      </c>
      <c r="AI1256" s="245">
        <v>68</v>
      </c>
      <c r="AJ1256" s="245">
        <v>305</v>
      </c>
      <c r="AK1256" s="245" t="s">
        <v>990</v>
      </c>
      <c r="AL1256" s="245">
        <v>10.7</v>
      </c>
      <c r="AM1256" s="246">
        <v>6.4</v>
      </c>
      <c r="AN1256" s="235">
        <v>293</v>
      </c>
      <c r="AO1256" s="247" t="s">
        <v>2657</v>
      </c>
      <c r="AP1256" s="247">
        <v>1000</v>
      </c>
      <c r="AQ1256" s="247">
        <v>18.600000000000001</v>
      </c>
      <c r="AR1256" s="247">
        <v>23</v>
      </c>
      <c r="AS1256" s="247">
        <v>21</v>
      </c>
      <c r="AT1256" s="247">
        <v>30</v>
      </c>
      <c r="AU1256" s="247">
        <v>6.6</v>
      </c>
      <c r="AV1256" s="247">
        <v>83</v>
      </c>
      <c r="AW1256" s="247">
        <v>77</v>
      </c>
      <c r="AX1256" s="247">
        <v>559</v>
      </c>
      <c r="AY1256" s="247">
        <v>137</v>
      </c>
      <c r="AZ1256" s="247" t="s">
        <v>946</v>
      </c>
      <c r="BA1256" s="248">
        <v>0</v>
      </c>
      <c r="BB1256" s="235">
        <v>264</v>
      </c>
      <c r="BC1256" s="247" t="s">
        <v>2655</v>
      </c>
      <c r="BD1256" s="247">
        <v>2.4</v>
      </c>
      <c r="BE1256" s="247">
        <v>2.4</v>
      </c>
      <c r="BF1256" s="247">
        <v>3.4</v>
      </c>
      <c r="BG1256" s="247">
        <v>5.5</v>
      </c>
      <c r="BH1256" s="247">
        <v>7.8</v>
      </c>
      <c r="BI1256" s="247">
        <v>11</v>
      </c>
      <c r="BJ1256" s="247">
        <v>15.3</v>
      </c>
      <c r="BK1256" s="247">
        <v>16.8</v>
      </c>
      <c r="BL1256" s="247">
        <v>12.8</v>
      </c>
      <c r="BM1256" s="247">
        <v>8</v>
      </c>
      <c r="BN1256" s="247">
        <v>4.5999999999999996</v>
      </c>
      <c r="BO1256" s="247">
        <v>3.1</v>
      </c>
      <c r="BP1256" s="248">
        <v>7.8</v>
      </c>
    </row>
    <row r="1257" spans="1:68" ht="14.25" customHeight="1">
      <c r="A1257" s="233">
        <v>600</v>
      </c>
      <c r="B1257" s="234">
        <v>63</v>
      </c>
      <c r="C1257" s="244" t="s">
        <v>928</v>
      </c>
      <c r="D1257" s="244" t="s">
        <v>1089</v>
      </c>
      <c r="E1257" s="244" t="s">
        <v>2658</v>
      </c>
      <c r="F1257" s="245">
        <v>-25.6</v>
      </c>
      <c r="G1257" s="245">
        <v>-22</v>
      </c>
      <c r="H1257" s="245">
        <v>-10.7</v>
      </c>
      <c r="I1257" s="245">
        <v>0.4</v>
      </c>
      <c r="J1257" s="245">
        <v>8.4</v>
      </c>
      <c r="K1257" s="245">
        <v>16.2</v>
      </c>
      <c r="L1257" s="245">
        <v>18.8</v>
      </c>
      <c r="M1257" s="245">
        <v>15.8</v>
      </c>
      <c r="N1257" s="245">
        <v>8</v>
      </c>
      <c r="O1257" s="245">
        <v>-1.1000000000000001</v>
      </c>
      <c r="P1257" s="245">
        <v>-13.4</v>
      </c>
      <c r="Q1257" s="245">
        <v>-21.9</v>
      </c>
      <c r="R1257" s="246">
        <v>-2.2999999999999998</v>
      </c>
      <c r="S1257" s="233">
        <v>63</v>
      </c>
      <c r="T1257" s="247" t="s">
        <v>2659</v>
      </c>
      <c r="U1257" s="245">
        <v>-44</v>
      </c>
      <c r="V1257" s="245">
        <v>-41</v>
      </c>
      <c r="W1257" s="245">
        <v>-43</v>
      </c>
      <c r="X1257" s="245">
        <v>-39</v>
      </c>
      <c r="Y1257" s="245">
        <v>-31</v>
      </c>
      <c r="Z1257" s="245">
        <v>-49</v>
      </c>
      <c r="AA1257" s="245">
        <v>12.7</v>
      </c>
      <c r="AB1257" s="245">
        <v>184</v>
      </c>
      <c r="AC1257" s="245">
        <v>-15.4</v>
      </c>
      <c r="AD1257" s="245">
        <v>241</v>
      </c>
      <c r="AE1257" s="245">
        <v>-10.8</v>
      </c>
      <c r="AF1257" s="245">
        <v>257</v>
      </c>
      <c r="AG1257" s="245">
        <v>-9.6</v>
      </c>
      <c r="AH1257" s="245">
        <v>75</v>
      </c>
      <c r="AI1257" s="245">
        <v>72</v>
      </c>
      <c r="AJ1257" s="245">
        <v>25</v>
      </c>
      <c r="AK1257" s="245" t="s">
        <v>950</v>
      </c>
      <c r="AL1257" s="245" t="s">
        <v>931</v>
      </c>
      <c r="AM1257" s="246" t="s">
        <v>931</v>
      </c>
      <c r="AN1257" s="235">
        <v>63</v>
      </c>
      <c r="AO1257" s="247" t="s">
        <v>2660</v>
      </c>
      <c r="AP1257" s="247">
        <v>930</v>
      </c>
      <c r="AQ1257" s="247" t="s">
        <v>958</v>
      </c>
      <c r="AR1257" s="247" t="s">
        <v>931</v>
      </c>
      <c r="AS1257" s="247">
        <v>25.9</v>
      </c>
      <c r="AT1257" s="247">
        <v>40</v>
      </c>
      <c r="AU1257" s="247">
        <v>13.9</v>
      </c>
      <c r="AV1257" s="247">
        <v>64</v>
      </c>
      <c r="AW1257" s="247">
        <v>48</v>
      </c>
      <c r="AX1257" s="247">
        <v>243</v>
      </c>
      <c r="AY1257" s="247" t="s">
        <v>965</v>
      </c>
      <c r="AZ1257" s="247" t="s">
        <v>952</v>
      </c>
      <c r="BA1257" s="248" t="s">
        <v>934</v>
      </c>
      <c r="BB1257" s="235">
        <v>49</v>
      </c>
      <c r="BC1257" s="247" t="s">
        <v>2658</v>
      </c>
      <c r="BD1257" s="247">
        <v>0.8</v>
      </c>
      <c r="BE1257" s="247">
        <v>0.9</v>
      </c>
      <c r="BF1257" s="247">
        <v>1.9</v>
      </c>
      <c r="BG1257" s="247">
        <v>3.1</v>
      </c>
      <c r="BH1257" s="247">
        <v>5.0999999999999996</v>
      </c>
      <c r="BI1257" s="247">
        <v>9.8000000000000007</v>
      </c>
      <c r="BJ1257" s="247">
        <v>13.5</v>
      </c>
      <c r="BK1257" s="247">
        <v>12.1</v>
      </c>
      <c r="BL1257" s="247">
        <v>7.3</v>
      </c>
      <c r="BM1257" s="247">
        <v>3.8</v>
      </c>
      <c r="BN1257" s="247">
        <v>1.7</v>
      </c>
      <c r="BO1257" s="247">
        <v>1</v>
      </c>
      <c r="BP1257" s="248">
        <v>5.0999999999999996</v>
      </c>
    </row>
    <row r="1258" spans="1:68" ht="14.25" customHeight="1">
      <c r="A1258" s="233">
        <v>601</v>
      </c>
      <c r="B1258" s="234">
        <v>574</v>
      </c>
      <c r="C1258" s="244" t="s">
        <v>1353</v>
      </c>
      <c r="D1258" s="244" t="s">
        <v>1969</v>
      </c>
      <c r="E1258" s="244" t="s">
        <v>2661</v>
      </c>
      <c r="F1258" s="245">
        <v>-7.7</v>
      </c>
      <c r="G1258" s="245">
        <v>-5.3</v>
      </c>
      <c r="H1258" s="245">
        <v>1.2</v>
      </c>
      <c r="I1258" s="245">
        <v>9.6999999999999993</v>
      </c>
      <c r="J1258" s="245">
        <v>14.8</v>
      </c>
      <c r="K1258" s="245">
        <v>19.2</v>
      </c>
      <c r="L1258" s="245">
        <v>22.7</v>
      </c>
      <c r="M1258" s="245">
        <v>22.8</v>
      </c>
      <c r="N1258" s="245">
        <v>18.2</v>
      </c>
      <c r="O1258" s="245">
        <v>10.8</v>
      </c>
      <c r="P1258" s="245">
        <v>3.4</v>
      </c>
      <c r="Q1258" s="245">
        <v>-3.4</v>
      </c>
      <c r="R1258" s="246">
        <v>8.9</v>
      </c>
      <c r="S1258" s="251"/>
      <c r="T1258" s="247" t="s">
        <v>2662</v>
      </c>
      <c r="U1258" s="247"/>
      <c r="V1258" s="247"/>
      <c r="W1258" s="247"/>
      <c r="X1258" s="247"/>
      <c r="Y1258" s="247"/>
      <c r="Z1258" s="247"/>
      <c r="AA1258" s="247"/>
      <c r="AB1258" s="247"/>
      <c r="AC1258" s="247"/>
      <c r="AD1258" s="247"/>
      <c r="AE1258" s="247"/>
      <c r="AF1258" s="247"/>
      <c r="AG1258" s="247"/>
      <c r="AH1258" s="247"/>
      <c r="AI1258" s="247"/>
      <c r="AJ1258" s="247"/>
      <c r="AK1258" s="247"/>
      <c r="AL1258" s="247"/>
      <c r="AM1258" s="248"/>
      <c r="AN1258" s="235"/>
      <c r="AO1258" s="247" t="s">
        <v>2662</v>
      </c>
      <c r="AP1258" s="247"/>
      <c r="AQ1258" s="247"/>
      <c r="AR1258" s="247"/>
      <c r="AS1258" s="247"/>
      <c r="AT1258" s="247"/>
      <c r="AU1258" s="247"/>
      <c r="AV1258" s="247"/>
      <c r="AW1258" s="247"/>
      <c r="AX1258" s="247"/>
      <c r="AY1258" s="247"/>
      <c r="AZ1258" s="247"/>
      <c r="BA1258" s="248"/>
      <c r="BB1258" s="235"/>
      <c r="BC1258" s="247" t="s">
        <v>2661</v>
      </c>
      <c r="BD1258" s="247"/>
      <c r="BE1258" s="247"/>
      <c r="BF1258" s="247"/>
      <c r="BG1258" s="247"/>
      <c r="BH1258" s="247"/>
      <c r="BI1258" s="247"/>
      <c r="BJ1258" s="247"/>
      <c r="BK1258" s="247"/>
      <c r="BL1258" s="247"/>
      <c r="BM1258" s="247"/>
      <c r="BN1258" s="247"/>
      <c r="BO1258" s="247"/>
      <c r="BP1258" s="248"/>
    </row>
    <row r="1259" spans="1:68" ht="14.25" customHeight="1">
      <c r="A1259" s="233">
        <v>602</v>
      </c>
      <c r="B1259" s="234">
        <v>456</v>
      </c>
      <c r="C1259" s="244" t="s">
        <v>928</v>
      </c>
      <c r="D1259" s="244" t="s">
        <v>1257</v>
      </c>
      <c r="E1259" s="244" t="s">
        <v>2663</v>
      </c>
      <c r="F1259" s="245">
        <v>-19.600000000000001</v>
      </c>
      <c r="G1259" s="245">
        <v>-19.5</v>
      </c>
      <c r="H1259" s="245">
        <v>-15.8</v>
      </c>
      <c r="I1259" s="245">
        <v>-7.6</v>
      </c>
      <c r="J1259" s="245">
        <v>-1.1000000000000001</v>
      </c>
      <c r="K1259" s="245">
        <v>7.4</v>
      </c>
      <c r="L1259" s="245">
        <v>12.6</v>
      </c>
      <c r="M1259" s="245">
        <v>10.1</v>
      </c>
      <c r="N1259" s="245">
        <v>4.8</v>
      </c>
      <c r="O1259" s="245">
        <v>-3.5</v>
      </c>
      <c r="P1259" s="245">
        <v>-11.2</v>
      </c>
      <c r="Q1259" s="245">
        <v>-16.7</v>
      </c>
      <c r="R1259" s="246">
        <v>-5</v>
      </c>
      <c r="S1259" s="233">
        <v>456</v>
      </c>
      <c r="T1259" s="247" t="s">
        <v>2663</v>
      </c>
      <c r="U1259" s="245">
        <v>-48</v>
      </c>
      <c r="V1259" s="245">
        <v>-46</v>
      </c>
      <c r="W1259" s="245">
        <v>-43</v>
      </c>
      <c r="X1259" s="245">
        <v>-42</v>
      </c>
      <c r="Y1259" s="245">
        <v>-25</v>
      </c>
      <c r="Z1259" s="245">
        <v>-53</v>
      </c>
      <c r="AA1259" s="245">
        <v>9.5</v>
      </c>
      <c r="AB1259" s="245">
        <v>229</v>
      </c>
      <c r="AC1259" s="245">
        <v>-13.3</v>
      </c>
      <c r="AD1259" s="245">
        <v>296</v>
      </c>
      <c r="AE1259" s="245">
        <v>-8.6</v>
      </c>
      <c r="AF1259" s="245">
        <v>318</v>
      </c>
      <c r="AG1259" s="245">
        <v>-7.3</v>
      </c>
      <c r="AH1259" s="245">
        <v>83</v>
      </c>
      <c r="AI1259" s="245">
        <v>82</v>
      </c>
      <c r="AJ1259" s="245">
        <v>118</v>
      </c>
      <c r="AK1259" s="245" t="s">
        <v>963</v>
      </c>
      <c r="AL1259" s="245">
        <v>7.2</v>
      </c>
      <c r="AM1259" s="246">
        <v>4.4000000000000004</v>
      </c>
      <c r="AN1259" s="235">
        <v>456</v>
      </c>
      <c r="AO1259" s="247" t="s">
        <v>2664</v>
      </c>
      <c r="AP1259" s="247">
        <v>1000</v>
      </c>
      <c r="AQ1259" s="247">
        <v>16.399999999999999</v>
      </c>
      <c r="AR1259" s="247">
        <v>20.9</v>
      </c>
      <c r="AS1259" s="247">
        <v>18.8</v>
      </c>
      <c r="AT1259" s="247">
        <v>34</v>
      </c>
      <c r="AU1259" s="247">
        <v>12</v>
      </c>
      <c r="AV1259" s="247">
        <v>73</v>
      </c>
      <c r="AW1259" s="247">
        <v>57</v>
      </c>
      <c r="AX1259" s="247">
        <v>318</v>
      </c>
      <c r="AY1259" s="247">
        <v>51</v>
      </c>
      <c r="AZ1259" s="247" t="s">
        <v>959</v>
      </c>
      <c r="BA1259" s="248">
        <v>4.4000000000000004</v>
      </c>
      <c r="BB1259" s="235">
        <v>418</v>
      </c>
      <c r="BC1259" s="247" t="s">
        <v>2663</v>
      </c>
      <c r="BD1259" s="247">
        <v>1.4</v>
      </c>
      <c r="BE1259" s="247">
        <v>1.4</v>
      </c>
      <c r="BF1259" s="247">
        <v>2</v>
      </c>
      <c r="BG1259" s="247">
        <v>3.3</v>
      </c>
      <c r="BH1259" s="247">
        <v>4.7</v>
      </c>
      <c r="BI1259" s="247">
        <v>7.5</v>
      </c>
      <c r="BJ1259" s="247">
        <v>10.6</v>
      </c>
      <c r="BK1259" s="247">
        <v>10.199999999999999</v>
      </c>
      <c r="BL1259" s="247">
        <v>7.5</v>
      </c>
      <c r="BM1259" s="247">
        <v>4.4000000000000004</v>
      </c>
      <c r="BN1259" s="247">
        <v>2.8</v>
      </c>
      <c r="BO1259" s="247">
        <v>2</v>
      </c>
      <c r="BP1259" s="248">
        <v>4.8</v>
      </c>
    </row>
    <row r="1260" spans="1:68" ht="14.25" customHeight="1">
      <c r="A1260" s="233">
        <v>603</v>
      </c>
      <c r="B1260" s="234">
        <v>578</v>
      </c>
      <c r="C1260" s="244" t="s">
        <v>1353</v>
      </c>
      <c r="D1260" s="244" t="s">
        <v>1589</v>
      </c>
      <c r="E1260" s="244" t="s">
        <v>2665</v>
      </c>
      <c r="F1260" s="245">
        <v>-0.8</v>
      </c>
      <c r="G1260" s="245">
        <v>2</v>
      </c>
      <c r="H1260" s="245">
        <v>9.6999999999999993</v>
      </c>
      <c r="I1260" s="245">
        <v>16.100000000000001</v>
      </c>
      <c r="J1260" s="245">
        <v>21.9</v>
      </c>
      <c r="K1260" s="245">
        <v>26.8</v>
      </c>
      <c r="L1260" s="245">
        <v>28.6</v>
      </c>
      <c r="M1260" s="245">
        <v>26.6</v>
      </c>
      <c r="N1260" s="245">
        <v>21.1</v>
      </c>
      <c r="O1260" s="245">
        <v>13.5</v>
      </c>
      <c r="P1260" s="245">
        <v>6.8</v>
      </c>
      <c r="Q1260" s="245">
        <v>1.5</v>
      </c>
      <c r="R1260" s="246">
        <v>14.5</v>
      </c>
      <c r="S1260" s="251"/>
      <c r="T1260" s="247" t="s">
        <v>2666</v>
      </c>
      <c r="U1260" s="247"/>
      <c r="V1260" s="247"/>
      <c r="W1260" s="247"/>
      <c r="X1260" s="247"/>
      <c r="Y1260" s="247"/>
      <c r="Z1260" s="247"/>
      <c r="AA1260" s="247"/>
      <c r="AB1260" s="247"/>
      <c r="AC1260" s="247"/>
      <c r="AD1260" s="247"/>
      <c r="AE1260" s="247"/>
      <c r="AF1260" s="247"/>
      <c r="AG1260" s="247"/>
      <c r="AH1260" s="247"/>
      <c r="AI1260" s="247"/>
      <c r="AJ1260" s="247"/>
      <c r="AK1260" s="247"/>
      <c r="AL1260" s="247"/>
      <c r="AM1260" s="248"/>
      <c r="AN1260" s="235"/>
      <c r="AO1260" s="247" t="s">
        <v>2666</v>
      </c>
      <c r="AP1260" s="247"/>
      <c r="AQ1260" s="247"/>
      <c r="AR1260" s="247"/>
      <c r="AS1260" s="247"/>
      <c r="AT1260" s="247"/>
      <c r="AU1260" s="247"/>
      <c r="AV1260" s="247"/>
      <c r="AW1260" s="247"/>
      <c r="AX1260" s="247"/>
      <c r="AY1260" s="247"/>
      <c r="AZ1260" s="247"/>
      <c r="BA1260" s="248"/>
      <c r="BB1260" s="235"/>
      <c r="BC1260" s="247" t="s">
        <v>2665</v>
      </c>
      <c r="BD1260" s="247"/>
      <c r="BE1260" s="247"/>
      <c r="BF1260" s="247"/>
      <c r="BG1260" s="247"/>
      <c r="BH1260" s="247"/>
      <c r="BI1260" s="247"/>
      <c r="BJ1260" s="247"/>
      <c r="BK1260" s="247"/>
      <c r="BL1260" s="247"/>
      <c r="BM1260" s="247"/>
      <c r="BN1260" s="247"/>
      <c r="BO1260" s="247"/>
      <c r="BP1260" s="248"/>
    </row>
    <row r="1261" spans="1:68" ht="14.25" customHeight="1">
      <c r="A1261" s="233">
        <v>604</v>
      </c>
      <c r="B1261" s="234">
        <v>495</v>
      </c>
      <c r="C1261" s="244" t="s">
        <v>1130</v>
      </c>
      <c r="D1261" s="244" t="s">
        <v>1130</v>
      </c>
      <c r="E1261" s="244" t="s">
        <v>2667</v>
      </c>
      <c r="F1261" s="245">
        <v>1.1000000000000001</v>
      </c>
      <c r="G1261" s="245">
        <v>1.9</v>
      </c>
      <c r="H1261" s="245">
        <v>4.8</v>
      </c>
      <c r="I1261" s="245">
        <v>9.9</v>
      </c>
      <c r="J1261" s="245">
        <v>13.9</v>
      </c>
      <c r="K1261" s="245">
        <v>16.600000000000001</v>
      </c>
      <c r="L1261" s="245">
        <v>18.399999999999999</v>
      </c>
      <c r="M1261" s="245">
        <v>18.5</v>
      </c>
      <c r="N1261" s="245">
        <v>15.9</v>
      </c>
      <c r="O1261" s="245">
        <v>11.8</v>
      </c>
      <c r="P1261" s="245">
        <v>7.6</v>
      </c>
      <c r="Q1261" s="245">
        <v>3.1</v>
      </c>
      <c r="R1261" s="246">
        <v>10.3</v>
      </c>
      <c r="S1261" s="233">
        <v>495</v>
      </c>
      <c r="T1261" s="247" t="s">
        <v>2668</v>
      </c>
      <c r="U1261" s="245">
        <v>-10</v>
      </c>
      <c r="V1261" s="245">
        <v>-7</v>
      </c>
      <c r="W1261" s="245">
        <v>-6</v>
      </c>
      <c r="X1261" s="245">
        <v>-3</v>
      </c>
      <c r="Y1261" s="245">
        <v>2</v>
      </c>
      <c r="Z1261" s="245">
        <v>-18</v>
      </c>
      <c r="AA1261" s="245">
        <v>6.4</v>
      </c>
      <c r="AB1261" s="245">
        <v>0</v>
      </c>
      <c r="AC1261" s="245" t="s">
        <v>830</v>
      </c>
      <c r="AD1261" s="245">
        <v>143</v>
      </c>
      <c r="AE1261" s="245">
        <v>3.2</v>
      </c>
      <c r="AF1261" s="245">
        <v>213</v>
      </c>
      <c r="AG1261" s="245">
        <v>4.3</v>
      </c>
      <c r="AH1261" s="245" t="s">
        <v>956</v>
      </c>
      <c r="AI1261" s="245">
        <v>65</v>
      </c>
      <c r="AJ1261" s="245">
        <v>718</v>
      </c>
      <c r="AK1261" s="245" t="s">
        <v>996</v>
      </c>
      <c r="AL1261" s="245" t="s">
        <v>931</v>
      </c>
      <c r="AM1261" s="246">
        <v>5</v>
      </c>
      <c r="AN1261" s="235">
        <v>495</v>
      </c>
      <c r="AO1261" s="247" t="s">
        <v>2669</v>
      </c>
      <c r="AP1261" s="247" t="s">
        <v>965</v>
      </c>
      <c r="AQ1261" s="247">
        <v>28</v>
      </c>
      <c r="AR1261" s="247">
        <v>21</v>
      </c>
      <c r="AS1261" s="247">
        <v>24.9</v>
      </c>
      <c r="AT1261" s="247">
        <v>39</v>
      </c>
      <c r="AU1261" s="247">
        <v>10.6</v>
      </c>
      <c r="AV1261" s="247">
        <v>78</v>
      </c>
      <c r="AW1261" s="247">
        <v>62</v>
      </c>
      <c r="AX1261" s="247" t="s">
        <v>931</v>
      </c>
      <c r="AY1261" s="247">
        <v>133</v>
      </c>
      <c r="AZ1261" s="247" t="s">
        <v>973</v>
      </c>
      <c r="BA1261" s="248">
        <v>1</v>
      </c>
      <c r="BB1261" s="235"/>
      <c r="BC1261" s="247" t="s">
        <v>2668</v>
      </c>
      <c r="BD1261" s="247"/>
      <c r="BE1261" s="247"/>
      <c r="BF1261" s="247"/>
      <c r="BG1261" s="247"/>
      <c r="BH1261" s="247"/>
      <c r="BI1261" s="247"/>
      <c r="BJ1261" s="247"/>
      <c r="BK1261" s="247"/>
      <c r="BL1261" s="247"/>
      <c r="BM1261" s="247"/>
      <c r="BN1261" s="247"/>
      <c r="BO1261" s="247"/>
      <c r="BP1261" s="248"/>
    </row>
    <row r="1262" spans="1:68" ht="14.25" customHeight="1">
      <c r="A1262" s="233">
        <v>605</v>
      </c>
      <c r="B1262" s="234">
        <v>489</v>
      </c>
      <c r="C1262" s="244" t="s">
        <v>1068</v>
      </c>
      <c r="D1262" s="244" t="s">
        <v>1068</v>
      </c>
      <c r="E1262" s="244" t="s">
        <v>2670</v>
      </c>
      <c r="F1262" s="245">
        <v>-1</v>
      </c>
      <c r="G1262" s="245">
        <v>0.1</v>
      </c>
      <c r="H1262" s="245">
        <v>4</v>
      </c>
      <c r="I1262" s="245">
        <v>9</v>
      </c>
      <c r="J1262" s="245">
        <v>14.3</v>
      </c>
      <c r="K1262" s="245">
        <v>17.7</v>
      </c>
      <c r="L1262" s="245">
        <v>20.6</v>
      </c>
      <c r="M1262" s="245">
        <v>20.3</v>
      </c>
      <c r="N1262" s="245">
        <v>16.5</v>
      </c>
      <c r="O1262" s="245">
        <v>10.8</v>
      </c>
      <c r="P1262" s="245">
        <v>5.8</v>
      </c>
      <c r="Q1262" s="245">
        <v>1.3</v>
      </c>
      <c r="R1262" s="246">
        <v>10</v>
      </c>
      <c r="S1262" s="233">
        <v>489</v>
      </c>
      <c r="T1262" s="247" t="s">
        <v>2671</v>
      </c>
      <c r="U1262" s="245">
        <v>-10</v>
      </c>
      <c r="V1262" s="245">
        <v>-9</v>
      </c>
      <c r="W1262" s="245">
        <v>-8</v>
      </c>
      <c r="X1262" s="245">
        <v>-4</v>
      </c>
      <c r="Y1262" s="245">
        <v>2</v>
      </c>
      <c r="Z1262" s="245">
        <v>-28</v>
      </c>
      <c r="AA1262" s="245">
        <v>7.6</v>
      </c>
      <c r="AB1262" s="245">
        <v>43</v>
      </c>
      <c r="AC1262" s="245">
        <v>-0.8</v>
      </c>
      <c r="AD1262" s="245">
        <v>154</v>
      </c>
      <c r="AE1262" s="245">
        <v>2.2000000000000002</v>
      </c>
      <c r="AF1262" s="245">
        <v>178</v>
      </c>
      <c r="AG1262" s="245">
        <v>3.1</v>
      </c>
      <c r="AH1262" s="245" t="s">
        <v>956</v>
      </c>
      <c r="AI1262" s="245">
        <v>67</v>
      </c>
      <c r="AJ1262" s="245">
        <v>247</v>
      </c>
      <c r="AK1262" s="245" t="s">
        <v>996</v>
      </c>
      <c r="AL1262" s="245" t="s">
        <v>931</v>
      </c>
      <c r="AM1262" s="246">
        <v>3.1</v>
      </c>
      <c r="AN1262" s="235">
        <v>489</v>
      </c>
      <c r="AO1262" s="247" t="s">
        <v>2672</v>
      </c>
      <c r="AP1262" s="247" t="s">
        <v>965</v>
      </c>
      <c r="AQ1262" s="247">
        <v>23</v>
      </c>
      <c r="AR1262" s="247">
        <v>30</v>
      </c>
      <c r="AS1262" s="247">
        <v>27.5</v>
      </c>
      <c r="AT1262" s="247">
        <v>36</v>
      </c>
      <c r="AU1262" s="247">
        <v>11.6</v>
      </c>
      <c r="AV1262" s="247">
        <v>69</v>
      </c>
      <c r="AW1262" s="247">
        <v>53</v>
      </c>
      <c r="AX1262" s="247" t="s">
        <v>931</v>
      </c>
      <c r="AY1262" s="247">
        <v>89</v>
      </c>
      <c r="AZ1262" s="247" t="s">
        <v>946</v>
      </c>
      <c r="BA1262" s="248">
        <v>0.5</v>
      </c>
      <c r="BB1262" s="235"/>
      <c r="BC1262" s="247" t="s">
        <v>2671</v>
      </c>
      <c r="BD1262" s="247"/>
      <c r="BE1262" s="247"/>
      <c r="BF1262" s="247"/>
      <c r="BG1262" s="247"/>
      <c r="BH1262" s="247"/>
      <c r="BI1262" s="247"/>
      <c r="BJ1262" s="247"/>
      <c r="BK1262" s="247"/>
      <c r="BL1262" s="247"/>
      <c r="BM1262" s="247"/>
      <c r="BN1262" s="247"/>
      <c r="BO1262" s="247"/>
      <c r="BP1262" s="248"/>
    </row>
    <row r="1263" spans="1:68" ht="14.25" customHeight="1">
      <c r="A1263" s="233">
        <v>606</v>
      </c>
      <c r="B1263" s="234">
        <v>560</v>
      </c>
      <c r="C1263" s="249" t="s">
        <v>1074</v>
      </c>
      <c r="D1263" s="249" t="s">
        <v>1357</v>
      </c>
      <c r="E1263" s="244" t="s">
        <v>2673</v>
      </c>
      <c r="F1263" s="245"/>
      <c r="G1263" s="245"/>
      <c r="H1263" s="245"/>
      <c r="I1263" s="245"/>
      <c r="J1263" s="245"/>
      <c r="K1263" s="245"/>
      <c r="L1263" s="245"/>
      <c r="M1263" s="245"/>
      <c r="N1263" s="245"/>
      <c r="O1263" s="245"/>
      <c r="P1263" s="245"/>
      <c r="Q1263" s="245"/>
      <c r="R1263" s="246"/>
      <c r="S1263" s="250">
        <v>560</v>
      </c>
      <c r="T1263" s="247" t="s">
        <v>2673</v>
      </c>
      <c r="U1263" s="245">
        <v>-25</v>
      </c>
      <c r="V1263" s="245">
        <v>-21</v>
      </c>
      <c r="W1263" s="245">
        <v>-20</v>
      </c>
      <c r="X1263" s="245">
        <v>-15</v>
      </c>
      <c r="Y1263" s="245">
        <v>-5</v>
      </c>
      <c r="Z1263" s="245">
        <v>-32</v>
      </c>
      <c r="AA1263" s="245">
        <v>9.3000000000000007</v>
      </c>
      <c r="AB1263" s="245">
        <v>62</v>
      </c>
      <c r="AC1263" s="245">
        <v>-0.4</v>
      </c>
      <c r="AD1263" s="245">
        <v>137</v>
      </c>
      <c r="AE1263" s="245">
        <v>1.4</v>
      </c>
      <c r="AF1263" s="245">
        <v>153</v>
      </c>
      <c r="AG1263" s="245">
        <v>2.2000000000000002</v>
      </c>
      <c r="AH1263" s="245" t="s">
        <v>956</v>
      </c>
      <c r="AI1263" s="245">
        <v>60</v>
      </c>
      <c r="AJ1263" s="245">
        <v>70</v>
      </c>
      <c r="AK1263" s="245" t="s">
        <v>982</v>
      </c>
      <c r="AL1263" s="245">
        <v>5.6</v>
      </c>
      <c r="AM1263" s="246" t="s">
        <v>931</v>
      </c>
      <c r="AN1263" s="235">
        <v>561</v>
      </c>
      <c r="AO1263" s="247" t="s">
        <v>2674</v>
      </c>
      <c r="AP1263" s="247">
        <v>1005</v>
      </c>
      <c r="AQ1263" s="247">
        <v>40</v>
      </c>
      <c r="AR1263" s="247">
        <v>33</v>
      </c>
      <c r="AS1263" s="247">
        <v>38.200000000000003</v>
      </c>
      <c r="AT1263" s="247">
        <v>48</v>
      </c>
      <c r="AU1263" s="247">
        <v>15.1</v>
      </c>
      <c r="AV1263" s="247">
        <v>33</v>
      </c>
      <c r="AW1263" s="247">
        <v>23</v>
      </c>
      <c r="AX1263" s="247">
        <v>60</v>
      </c>
      <c r="AY1263" s="247">
        <v>38</v>
      </c>
      <c r="AZ1263" s="247" t="s">
        <v>1038</v>
      </c>
      <c r="BA1263" s="248">
        <v>2.4</v>
      </c>
      <c r="BB1263" s="235"/>
      <c r="BC1263" s="247" t="s">
        <v>2673</v>
      </c>
      <c r="BD1263" s="247"/>
      <c r="BE1263" s="247"/>
      <c r="BF1263" s="247"/>
      <c r="BG1263" s="247"/>
      <c r="BH1263" s="247"/>
      <c r="BI1263" s="247"/>
      <c r="BJ1263" s="247"/>
      <c r="BK1263" s="247"/>
      <c r="BL1263" s="247"/>
      <c r="BM1263" s="247"/>
      <c r="BN1263" s="247"/>
      <c r="BO1263" s="247"/>
      <c r="BP1263" s="248"/>
    </row>
    <row r="1264" spans="1:68" ht="14.25" customHeight="1">
      <c r="A1264" s="233">
        <v>607</v>
      </c>
      <c r="B1264" s="234">
        <v>389</v>
      </c>
      <c r="C1264" s="244" t="s">
        <v>928</v>
      </c>
      <c r="D1264" s="244" t="s">
        <v>947</v>
      </c>
      <c r="E1264" s="244" t="s">
        <v>2675</v>
      </c>
      <c r="F1264" s="245">
        <v>-33.799999999999997</v>
      </c>
      <c r="G1264" s="245">
        <v>-29.7</v>
      </c>
      <c r="H1264" s="245">
        <v>-18.3</v>
      </c>
      <c r="I1264" s="245">
        <v>-4.9000000000000004</v>
      </c>
      <c r="J1264" s="245">
        <v>4.4000000000000004</v>
      </c>
      <c r="K1264" s="245">
        <v>12.7</v>
      </c>
      <c r="L1264" s="245">
        <v>16.2</v>
      </c>
      <c r="M1264" s="245">
        <v>13</v>
      </c>
      <c r="N1264" s="245">
        <v>5.2</v>
      </c>
      <c r="O1264" s="245">
        <v>-6.4</v>
      </c>
      <c r="P1264" s="245">
        <v>-22</v>
      </c>
      <c r="Q1264" s="245">
        <v>-31.9</v>
      </c>
      <c r="R1264" s="246">
        <v>-8</v>
      </c>
      <c r="S1264" s="233">
        <v>389</v>
      </c>
      <c r="T1264" s="247" t="s">
        <v>2676</v>
      </c>
      <c r="U1264" s="245">
        <v>-50</v>
      </c>
      <c r="V1264" s="245">
        <v>-49</v>
      </c>
      <c r="W1264" s="245">
        <v>-48</v>
      </c>
      <c r="X1264" s="245">
        <v>-46</v>
      </c>
      <c r="Y1264" s="245">
        <v>-39</v>
      </c>
      <c r="Z1264" s="245">
        <v>-56</v>
      </c>
      <c r="AA1264" s="245">
        <v>13.4</v>
      </c>
      <c r="AB1264" s="245">
        <v>214</v>
      </c>
      <c r="AC1264" s="245">
        <v>-20.3</v>
      </c>
      <c r="AD1264" s="245">
        <v>267</v>
      </c>
      <c r="AE1264" s="245">
        <v>-15.5</v>
      </c>
      <c r="AF1264" s="245">
        <v>282</v>
      </c>
      <c r="AG1264" s="245">
        <v>-14.2</v>
      </c>
      <c r="AH1264" s="245">
        <v>79</v>
      </c>
      <c r="AI1264" s="245">
        <v>79</v>
      </c>
      <c r="AJ1264" s="245">
        <v>25</v>
      </c>
      <c r="AK1264" s="245" t="s">
        <v>938</v>
      </c>
      <c r="AL1264" s="245" t="s">
        <v>931</v>
      </c>
      <c r="AM1264" s="246">
        <v>1.2</v>
      </c>
      <c r="AN1264" s="235">
        <v>389</v>
      </c>
      <c r="AO1264" s="247" t="s">
        <v>2677</v>
      </c>
      <c r="AP1264" s="247">
        <v>940</v>
      </c>
      <c r="AQ1264" s="247">
        <v>20.2</v>
      </c>
      <c r="AR1264" s="247">
        <v>25.1</v>
      </c>
      <c r="AS1264" s="247">
        <v>23.6</v>
      </c>
      <c r="AT1264" s="247">
        <v>35</v>
      </c>
      <c r="AU1264" s="247">
        <v>14.8</v>
      </c>
      <c r="AV1264" s="247">
        <v>72</v>
      </c>
      <c r="AW1264" s="247">
        <v>67</v>
      </c>
      <c r="AX1264" s="247">
        <v>325</v>
      </c>
      <c r="AY1264" s="247">
        <v>54</v>
      </c>
      <c r="AZ1264" s="247" t="s">
        <v>940</v>
      </c>
      <c r="BA1264" s="248" t="s">
        <v>934</v>
      </c>
      <c r="BB1264" s="235">
        <v>353</v>
      </c>
      <c r="BC1264" s="247" t="s">
        <v>2675</v>
      </c>
      <c r="BD1264" s="247">
        <v>0.4</v>
      </c>
      <c r="BE1264" s="247">
        <v>0.5</v>
      </c>
      <c r="BF1264" s="247">
        <v>1.1000000000000001</v>
      </c>
      <c r="BG1264" s="247">
        <v>2.6</v>
      </c>
      <c r="BH1264" s="247">
        <v>4.7</v>
      </c>
      <c r="BI1264" s="247">
        <v>9.3000000000000007</v>
      </c>
      <c r="BJ1264" s="247">
        <v>12.9</v>
      </c>
      <c r="BK1264" s="247">
        <v>11.1</v>
      </c>
      <c r="BL1264" s="247">
        <v>6.5</v>
      </c>
      <c r="BM1264" s="247">
        <v>2.9</v>
      </c>
      <c r="BN1264" s="247">
        <v>1</v>
      </c>
      <c r="BO1264" s="247">
        <v>0.4</v>
      </c>
      <c r="BP1264" s="248">
        <v>4.5</v>
      </c>
    </row>
    <row r="1265" spans="1:68" ht="14.25" customHeight="1">
      <c r="A1265" s="233">
        <v>608</v>
      </c>
      <c r="B1265" s="234">
        <v>603</v>
      </c>
      <c r="C1265" s="244" t="s">
        <v>1015</v>
      </c>
      <c r="D1265" s="244" t="s">
        <v>2445</v>
      </c>
      <c r="E1265" s="244" t="s">
        <v>2678</v>
      </c>
      <c r="F1265" s="245">
        <v>-1.6</v>
      </c>
      <c r="G1265" s="245">
        <v>0.1</v>
      </c>
      <c r="H1265" s="245">
        <v>5.2</v>
      </c>
      <c r="I1265" s="245">
        <v>12.5</v>
      </c>
      <c r="J1265" s="245">
        <v>17.100000000000001</v>
      </c>
      <c r="K1265" s="245">
        <v>21.7</v>
      </c>
      <c r="L1265" s="245">
        <v>24.8</v>
      </c>
      <c r="M1265" s="245">
        <v>23.6</v>
      </c>
      <c r="N1265" s="245">
        <v>18.5</v>
      </c>
      <c r="O1265" s="245">
        <v>12.1</v>
      </c>
      <c r="P1265" s="245">
        <v>5.7</v>
      </c>
      <c r="Q1265" s="245">
        <v>0.7</v>
      </c>
      <c r="R1265" s="246">
        <v>11.7</v>
      </c>
      <c r="S1265" s="233">
        <v>592</v>
      </c>
      <c r="T1265" s="247" t="s">
        <v>2678</v>
      </c>
      <c r="U1265" s="245">
        <v>-18</v>
      </c>
      <c r="V1265" s="245">
        <v>-16</v>
      </c>
      <c r="W1265" s="245">
        <v>-15</v>
      </c>
      <c r="X1265" s="245" t="s">
        <v>965</v>
      </c>
      <c r="Y1265" s="245">
        <v>-5</v>
      </c>
      <c r="Z1265" s="245">
        <v>-24</v>
      </c>
      <c r="AA1265" s="245">
        <v>6.9</v>
      </c>
      <c r="AB1265" s="245">
        <v>56</v>
      </c>
      <c r="AC1265" s="245" t="s">
        <v>958</v>
      </c>
      <c r="AD1265" s="245">
        <v>144</v>
      </c>
      <c r="AE1265" s="245">
        <v>1.7</v>
      </c>
      <c r="AF1265" s="245" t="s">
        <v>933</v>
      </c>
      <c r="AG1265" s="245" t="s">
        <v>931</v>
      </c>
      <c r="AH1265" s="245" t="s">
        <v>956</v>
      </c>
      <c r="AI1265" s="245" t="s">
        <v>956</v>
      </c>
      <c r="AJ1265" s="245" t="s">
        <v>1018</v>
      </c>
      <c r="AK1265" s="245" t="s">
        <v>931</v>
      </c>
      <c r="AL1265" s="245">
        <v>11.3</v>
      </c>
      <c r="AM1265" s="246" t="s">
        <v>931</v>
      </c>
      <c r="AN1265" s="235">
        <v>593</v>
      </c>
      <c r="AO1265" s="247" t="s">
        <v>2679</v>
      </c>
      <c r="AP1265" s="247">
        <v>910</v>
      </c>
      <c r="AQ1265" s="247">
        <v>29.8</v>
      </c>
      <c r="AR1265" s="247">
        <v>34.299999999999997</v>
      </c>
      <c r="AS1265" s="247">
        <v>31.9</v>
      </c>
      <c r="AT1265" s="247">
        <v>42</v>
      </c>
      <c r="AU1265" s="247">
        <v>14.8</v>
      </c>
      <c r="AV1265" s="247" t="s">
        <v>958</v>
      </c>
      <c r="AW1265" s="247" t="s">
        <v>931</v>
      </c>
      <c r="AX1265" s="247" t="s">
        <v>931</v>
      </c>
      <c r="AY1265" s="247">
        <v>99</v>
      </c>
      <c r="AZ1265" s="247" t="s">
        <v>933</v>
      </c>
      <c r="BA1265" s="248">
        <v>0</v>
      </c>
      <c r="BB1265" s="235"/>
      <c r="BC1265" s="247" t="s">
        <v>2678</v>
      </c>
      <c r="BD1265" s="247"/>
      <c r="BE1265" s="247"/>
      <c r="BF1265" s="247"/>
      <c r="BG1265" s="247"/>
      <c r="BH1265" s="247"/>
      <c r="BI1265" s="247"/>
      <c r="BJ1265" s="247"/>
      <c r="BK1265" s="247"/>
      <c r="BL1265" s="247"/>
      <c r="BM1265" s="247"/>
      <c r="BN1265" s="247"/>
      <c r="BO1265" s="247"/>
      <c r="BP1265" s="248"/>
    </row>
    <row r="1266" spans="1:68" ht="14.25" customHeight="1">
      <c r="A1266" s="233">
        <v>609</v>
      </c>
      <c r="B1266" s="234">
        <v>570</v>
      </c>
      <c r="C1266" s="249" t="s">
        <v>1074</v>
      </c>
      <c r="D1266" s="249" t="s">
        <v>1415</v>
      </c>
      <c r="E1266" s="244" t="s">
        <v>2680</v>
      </c>
      <c r="F1266" s="245"/>
      <c r="G1266" s="245"/>
      <c r="H1266" s="245"/>
      <c r="I1266" s="245"/>
      <c r="J1266" s="245"/>
      <c r="K1266" s="245"/>
      <c r="L1266" s="245"/>
      <c r="M1266" s="245"/>
      <c r="N1266" s="245"/>
      <c r="O1266" s="245"/>
      <c r="P1266" s="245"/>
      <c r="Q1266" s="245"/>
      <c r="R1266" s="246"/>
      <c r="S1266" s="250">
        <v>570</v>
      </c>
      <c r="T1266" s="247" t="s">
        <v>2680</v>
      </c>
      <c r="U1266" s="245">
        <v>-19</v>
      </c>
      <c r="V1266" s="245">
        <v>-17</v>
      </c>
      <c r="W1266" s="245">
        <v>-15</v>
      </c>
      <c r="X1266" s="245">
        <v>-13</v>
      </c>
      <c r="Y1266" s="245">
        <v>-2</v>
      </c>
      <c r="Z1266" s="245">
        <v>-24</v>
      </c>
      <c r="AA1266" s="245">
        <v>9.6</v>
      </c>
      <c r="AB1266" s="245">
        <v>0</v>
      </c>
      <c r="AC1266" s="245" t="s">
        <v>830</v>
      </c>
      <c r="AD1266" s="245">
        <v>114</v>
      </c>
      <c r="AE1266" s="245">
        <v>3.3</v>
      </c>
      <c r="AF1266" s="245">
        <v>134</v>
      </c>
      <c r="AG1266" s="245">
        <v>4.0999999999999996</v>
      </c>
      <c r="AH1266" s="245" t="s">
        <v>956</v>
      </c>
      <c r="AI1266" s="245">
        <v>63</v>
      </c>
      <c r="AJ1266" s="245">
        <v>93</v>
      </c>
      <c r="AK1266" s="245" t="s">
        <v>996</v>
      </c>
      <c r="AL1266" s="245">
        <v>5</v>
      </c>
      <c r="AM1266" s="246" t="s">
        <v>931</v>
      </c>
      <c r="AN1266" s="235">
        <v>571</v>
      </c>
      <c r="AO1266" s="247" t="s">
        <v>2681</v>
      </c>
      <c r="AP1266" s="247">
        <v>995</v>
      </c>
      <c r="AQ1266" s="247">
        <v>38</v>
      </c>
      <c r="AR1266" s="247">
        <v>33</v>
      </c>
      <c r="AS1266" s="247">
        <v>36.799999999999997</v>
      </c>
      <c r="AT1266" s="247">
        <v>45</v>
      </c>
      <c r="AU1266" s="247">
        <v>15.2</v>
      </c>
      <c r="AV1266" s="247">
        <v>36</v>
      </c>
      <c r="AW1266" s="247">
        <v>22</v>
      </c>
      <c r="AX1266" s="247">
        <v>39</v>
      </c>
      <c r="AY1266" s="247">
        <v>63</v>
      </c>
      <c r="AZ1266" s="247" t="s">
        <v>1005</v>
      </c>
      <c r="BA1266" s="248">
        <v>3.1</v>
      </c>
      <c r="BB1266" s="235"/>
      <c r="BC1266" s="247" t="s">
        <v>2680</v>
      </c>
      <c r="BD1266" s="247"/>
      <c r="BE1266" s="247"/>
      <c r="BF1266" s="247"/>
      <c r="BG1266" s="247"/>
      <c r="BH1266" s="247"/>
      <c r="BI1266" s="247"/>
      <c r="BJ1266" s="247"/>
      <c r="BK1266" s="247"/>
      <c r="BL1266" s="247"/>
      <c r="BM1266" s="247"/>
      <c r="BN1266" s="247"/>
      <c r="BO1266" s="247"/>
      <c r="BP1266" s="248"/>
    </row>
    <row r="1267" spans="1:68" ht="14.25" customHeight="1">
      <c r="A1267" s="233">
        <v>610</v>
      </c>
      <c r="B1267" s="234">
        <v>392</v>
      </c>
      <c r="C1267" s="244" t="s">
        <v>928</v>
      </c>
      <c r="D1267" s="244" t="s">
        <v>2183</v>
      </c>
      <c r="E1267" s="244" t="s">
        <v>249</v>
      </c>
      <c r="F1267" s="245">
        <v>-13</v>
      </c>
      <c r="G1267" s="245">
        <v>-12.4</v>
      </c>
      <c r="H1267" s="245">
        <v>-6</v>
      </c>
      <c r="I1267" s="245">
        <v>3.6</v>
      </c>
      <c r="J1267" s="245">
        <v>12</v>
      </c>
      <c r="K1267" s="245">
        <v>16.5</v>
      </c>
      <c r="L1267" s="245">
        <v>18.600000000000001</v>
      </c>
      <c r="M1267" s="245">
        <v>16.899999999999999</v>
      </c>
      <c r="N1267" s="245">
        <v>10.8</v>
      </c>
      <c r="O1267" s="245">
        <v>3.3</v>
      </c>
      <c r="P1267" s="245">
        <v>-3.7</v>
      </c>
      <c r="Q1267" s="245">
        <v>-10</v>
      </c>
      <c r="R1267" s="246">
        <v>3</v>
      </c>
      <c r="S1267" s="233">
        <v>392</v>
      </c>
      <c r="T1267" s="247" t="s">
        <v>2682</v>
      </c>
      <c r="U1267" s="245">
        <v>-40</v>
      </c>
      <c r="V1267" s="245">
        <v>-36</v>
      </c>
      <c r="W1267" s="245">
        <v>-35</v>
      </c>
      <c r="X1267" s="245">
        <v>-32</v>
      </c>
      <c r="Y1267" s="245">
        <v>-18</v>
      </c>
      <c r="Z1267" s="245">
        <v>-44</v>
      </c>
      <c r="AA1267" s="245">
        <v>6.8</v>
      </c>
      <c r="AB1267" s="245">
        <v>156</v>
      </c>
      <c r="AC1267" s="245">
        <v>-8.3000000000000007</v>
      </c>
      <c r="AD1267" s="245">
        <v>217</v>
      </c>
      <c r="AE1267" s="245">
        <v>-4.9000000000000004</v>
      </c>
      <c r="AF1267" s="245">
        <v>232</v>
      </c>
      <c r="AG1267" s="245">
        <v>-3.9</v>
      </c>
      <c r="AH1267" s="245">
        <v>84</v>
      </c>
      <c r="AI1267" s="245">
        <v>84</v>
      </c>
      <c r="AJ1267" s="245">
        <v>160</v>
      </c>
      <c r="AK1267" s="245" t="s">
        <v>963</v>
      </c>
      <c r="AL1267" s="245" t="s">
        <v>931</v>
      </c>
      <c r="AM1267" s="246">
        <v>5</v>
      </c>
      <c r="AN1267" s="235">
        <v>392</v>
      </c>
      <c r="AO1267" s="247" t="s">
        <v>2683</v>
      </c>
      <c r="AP1267" s="247">
        <v>1000</v>
      </c>
      <c r="AQ1267" s="247">
        <v>21.7</v>
      </c>
      <c r="AR1267" s="247">
        <v>25.9</v>
      </c>
      <c r="AS1267" s="247">
        <v>24.1</v>
      </c>
      <c r="AT1267" s="247">
        <v>39</v>
      </c>
      <c r="AU1267" s="247">
        <v>10.1</v>
      </c>
      <c r="AV1267" s="247">
        <v>70</v>
      </c>
      <c r="AW1267" s="247">
        <v>57</v>
      </c>
      <c r="AX1267" s="247">
        <v>371</v>
      </c>
      <c r="AY1267" s="247">
        <v>93</v>
      </c>
      <c r="AZ1267" s="247" t="s">
        <v>952</v>
      </c>
      <c r="BA1267" s="248" t="s">
        <v>934</v>
      </c>
      <c r="BB1267" s="235">
        <v>356</v>
      </c>
      <c r="BC1267" s="247" t="s">
        <v>249</v>
      </c>
      <c r="BD1267" s="247">
        <v>2.2999999999999998</v>
      </c>
      <c r="BE1267" s="247">
        <v>2.2999999999999998</v>
      </c>
      <c r="BF1267" s="247">
        <v>3.4</v>
      </c>
      <c r="BG1267" s="247">
        <v>6</v>
      </c>
      <c r="BH1267" s="247">
        <v>8.8000000000000007</v>
      </c>
      <c r="BI1267" s="247">
        <v>12.1</v>
      </c>
      <c r="BJ1267" s="247">
        <v>14.8</v>
      </c>
      <c r="BK1267" s="247">
        <v>13.6</v>
      </c>
      <c r="BL1267" s="247">
        <v>10</v>
      </c>
      <c r="BM1267" s="247">
        <v>6.5</v>
      </c>
      <c r="BN1267" s="247">
        <v>4.4000000000000004</v>
      </c>
      <c r="BO1267" s="247">
        <v>3</v>
      </c>
      <c r="BP1267" s="248">
        <v>7.2</v>
      </c>
    </row>
    <row r="1268" spans="1:68" ht="14.25" customHeight="1">
      <c r="A1268" s="233">
        <v>611</v>
      </c>
      <c r="B1268" s="234">
        <v>501</v>
      </c>
      <c r="C1268" s="244" t="s">
        <v>960</v>
      </c>
      <c r="D1268" s="244" t="s">
        <v>961</v>
      </c>
      <c r="E1268" s="244" t="s">
        <v>2684</v>
      </c>
      <c r="F1268" s="245">
        <v>-14.6</v>
      </c>
      <c r="G1268" s="245">
        <v>-14</v>
      </c>
      <c r="H1268" s="245">
        <v>-6</v>
      </c>
      <c r="I1268" s="245">
        <v>8.1999999999999993</v>
      </c>
      <c r="J1268" s="245">
        <v>17</v>
      </c>
      <c r="K1268" s="245">
        <v>22.7</v>
      </c>
      <c r="L1268" s="245">
        <v>25.1</v>
      </c>
      <c r="M1268" s="245">
        <v>22.9</v>
      </c>
      <c r="N1268" s="245">
        <v>15.8</v>
      </c>
      <c r="O1268" s="245">
        <v>6.2</v>
      </c>
      <c r="P1268" s="245">
        <v>-2.6</v>
      </c>
      <c r="Q1268" s="245">
        <v>-10.3</v>
      </c>
      <c r="R1268" s="246">
        <v>5.9</v>
      </c>
      <c r="S1268" s="233">
        <v>501</v>
      </c>
      <c r="T1268" s="247" t="s">
        <v>2684</v>
      </c>
      <c r="U1268" s="245">
        <v>-39</v>
      </c>
      <c r="V1268" s="245">
        <v>-37</v>
      </c>
      <c r="W1268" s="245">
        <v>-35</v>
      </c>
      <c r="X1268" s="245">
        <v>-33</v>
      </c>
      <c r="Y1268" s="245" t="s">
        <v>956</v>
      </c>
      <c r="Z1268" s="245">
        <v>-45</v>
      </c>
      <c r="AA1268" s="245">
        <v>9.5</v>
      </c>
      <c r="AB1268" s="245">
        <v>146</v>
      </c>
      <c r="AC1268" s="245">
        <v>-9.8000000000000007</v>
      </c>
      <c r="AD1268" s="245">
        <v>190</v>
      </c>
      <c r="AE1268" s="245">
        <v>-6.4</v>
      </c>
      <c r="AF1268" s="245">
        <v>201</v>
      </c>
      <c r="AG1268" s="245">
        <v>-4.5999999999999996</v>
      </c>
      <c r="AH1268" s="245">
        <v>81</v>
      </c>
      <c r="AI1268" s="245" t="s">
        <v>956</v>
      </c>
      <c r="AJ1268" s="245">
        <v>75</v>
      </c>
      <c r="AK1268" s="245" t="s">
        <v>938</v>
      </c>
      <c r="AL1268" s="245">
        <v>6.2</v>
      </c>
      <c r="AM1268" s="246">
        <v>4.9000000000000004</v>
      </c>
      <c r="AN1268" s="235">
        <v>501</v>
      </c>
      <c r="AO1268" s="247" t="s">
        <v>2685</v>
      </c>
      <c r="AP1268" s="247" t="s">
        <v>965</v>
      </c>
      <c r="AQ1268" s="247" t="s">
        <v>958</v>
      </c>
      <c r="AR1268" s="247" t="s">
        <v>931</v>
      </c>
      <c r="AS1268" s="247">
        <v>32.1</v>
      </c>
      <c r="AT1268" s="247">
        <v>43</v>
      </c>
      <c r="AU1268" s="247">
        <v>14.6</v>
      </c>
      <c r="AV1268" s="247">
        <v>41</v>
      </c>
      <c r="AW1268" s="247" t="s">
        <v>931</v>
      </c>
      <c r="AX1268" s="247">
        <v>113</v>
      </c>
      <c r="AY1268" s="247" t="s">
        <v>965</v>
      </c>
      <c r="AZ1268" s="247" t="s">
        <v>1005</v>
      </c>
      <c r="BA1268" s="248">
        <v>4.3</v>
      </c>
      <c r="BB1268" s="235"/>
      <c r="BC1268" s="247" t="s">
        <v>2684</v>
      </c>
      <c r="BD1268" s="247"/>
      <c r="BE1268" s="247"/>
      <c r="BF1268" s="247"/>
      <c r="BG1268" s="247"/>
      <c r="BH1268" s="247"/>
      <c r="BI1268" s="247"/>
      <c r="BJ1268" s="247"/>
      <c r="BK1268" s="247"/>
      <c r="BL1268" s="247"/>
      <c r="BM1268" s="247"/>
      <c r="BN1268" s="247"/>
      <c r="BO1268" s="247"/>
      <c r="BP1268" s="248"/>
    </row>
    <row r="1269" spans="1:68" ht="14.25" customHeight="1">
      <c r="A1269" s="233">
        <v>612</v>
      </c>
      <c r="B1269" s="234">
        <v>193</v>
      </c>
      <c r="C1269" s="244" t="s">
        <v>928</v>
      </c>
      <c r="D1269" s="244" t="s">
        <v>935</v>
      </c>
      <c r="E1269" s="244" t="s">
        <v>2686</v>
      </c>
      <c r="F1269" s="245">
        <v>-28.5</v>
      </c>
      <c r="G1269" s="245">
        <v>-28.6</v>
      </c>
      <c r="H1269" s="245">
        <v>-28.2</v>
      </c>
      <c r="I1269" s="245">
        <v>-21</v>
      </c>
      <c r="J1269" s="245">
        <v>-10.5</v>
      </c>
      <c r="K1269" s="245">
        <v>-1.4</v>
      </c>
      <c r="L1269" s="245">
        <v>1.5</v>
      </c>
      <c r="M1269" s="245">
        <v>0.7</v>
      </c>
      <c r="N1269" s="245">
        <v>-2.4</v>
      </c>
      <c r="O1269" s="245">
        <v>-11.5</v>
      </c>
      <c r="P1269" s="245">
        <v>-21.4</v>
      </c>
      <c r="Q1269" s="245">
        <v>-25.3</v>
      </c>
      <c r="R1269" s="246">
        <v>-14.7</v>
      </c>
      <c r="S1269" s="233">
        <v>193</v>
      </c>
      <c r="T1269" s="247" t="s">
        <v>2687</v>
      </c>
      <c r="U1269" s="245">
        <v>-46</v>
      </c>
      <c r="V1269" s="245">
        <v>-44</v>
      </c>
      <c r="W1269" s="245">
        <v>-44</v>
      </c>
      <c r="X1269" s="245">
        <v>-41</v>
      </c>
      <c r="Y1269" s="245">
        <v>-33</v>
      </c>
      <c r="Z1269" s="245">
        <v>-49</v>
      </c>
      <c r="AA1269" s="245">
        <v>7</v>
      </c>
      <c r="AB1269" s="245">
        <v>311</v>
      </c>
      <c r="AC1269" s="245">
        <v>-17.3</v>
      </c>
      <c r="AD1269" s="245">
        <v>365</v>
      </c>
      <c r="AE1269" s="245">
        <v>-14.7</v>
      </c>
      <c r="AF1269" s="245">
        <v>365</v>
      </c>
      <c r="AG1269" s="245">
        <v>-14.7</v>
      </c>
      <c r="AH1269" s="245">
        <v>84</v>
      </c>
      <c r="AI1269" s="245">
        <v>84</v>
      </c>
      <c r="AJ1269" s="245" t="s">
        <v>1018</v>
      </c>
      <c r="AK1269" s="245" t="s">
        <v>971</v>
      </c>
      <c r="AL1269" s="245">
        <v>9.3000000000000007</v>
      </c>
      <c r="AM1269" s="246">
        <v>6.7</v>
      </c>
      <c r="AN1269" s="235">
        <v>193</v>
      </c>
      <c r="AO1269" s="247" t="s">
        <v>2688</v>
      </c>
      <c r="AP1269" s="247">
        <v>1010</v>
      </c>
      <c r="AQ1269" s="247">
        <v>1.5</v>
      </c>
      <c r="AR1269" s="247">
        <v>6.7</v>
      </c>
      <c r="AS1269" s="247">
        <v>3.9</v>
      </c>
      <c r="AT1269" s="247">
        <v>24</v>
      </c>
      <c r="AU1269" s="247">
        <v>4.0999999999999996</v>
      </c>
      <c r="AV1269" s="247">
        <v>93</v>
      </c>
      <c r="AW1269" s="247">
        <v>91</v>
      </c>
      <c r="AX1269" s="247" t="s">
        <v>931</v>
      </c>
      <c r="AY1269" s="247" t="s">
        <v>965</v>
      </c>
      <c r="AZ1269" s="247" t="s">
        <v>1038</v>
      </c>
      <c r="BA1269" s="248">
        <v>5.8</v>
      </c>
      <c r="BB1269" s="235"/>
      <c r="BC1269" s="247" t="s">
        <v>2686</v>
      </c>
      <c r="BD1269" s="247"/>
      <c r="BE1269" s="247"/>
      <c r="BF1269" s="247"/>
      <c r="BG1269" s="247"/>
      <c r="BH1269" s="247"/>
      <c r="BI1269" s="247"/>
      <c r="BJ1269" s="247"/>
      <c r="BK1269" s="247"/>
      <c r="BL1269" s="247"/>
      <c r="BM1269" s="247"/>
      <c r="BN1269" s="247"/>
      <c r="BO1269" s="247"/>
      <c r="BP1269" s="248"/>
    </row>
    <row r="1270" spans="1:68" ht="14.25" customHeight="1">
      <c r="A1270" s="233">
        <v>613</v>
      </c>
      <c r="B1270" s="234">
        <v>374</v>
      </c>
      <c r="C1270" s="244" t="s">
        <v>928</v>
      </c>
      <c r="D1270" s="244" t="s">
        <v>1280</v>
      </c>
      <c r="E1270" s="244" t="s">
        <v>250</v>
      </c>
      <c r="F1270" s="245">
        <v>-15.8</v>
      </c>
      <c r="G1270" s="245">
        <v>-14.3</v>
      </c>
      <c r="H1270" s="245">
        <v>-7.4</v>
      </c>
      <c r="I1270" s="245">
        <v>3.9</v>
      </c>
      <c r="J1270" s="245">
        <v>11.9</v>
      </c>
      <c r="K1270" s="245">
        <v>16.8</v>
      </c>
      <c r="L1270" s="245">
        <v>18.399999999999999</v>
      </c>
      <c r="M1270" s="245">
        <v>16.2</v>
      </c>
      <c r="N1270" s="245">
        <v>10.7</v>
      </c>
      <c r="O1270" s="245">
        <v>2.4</v>
      </c>
      <c r="P1270" s="245">
        <v>-6.2</v>
      </c>
      <c r="Q1270" s="245">
        <v>-12.9</v>
      </c>
      <c r="R1270" s="246">
        <v>2</v>
      </c>
      <c r="S1270" s="233">
        <v>374</v>
      </c>
      <c r="T1270" s="247" t="s">
        <v>2689</v>
      </c>
      <c r="U1270" s="245">
        <v>-39</v>
      </c>
      <c r="V1270" s="245">
        <v>-38</v>
      </c>
      <c r="W1270" s="245">
        <v>-35</v>
      </c>
      <c r="X1270" s="245">
        <v>-34</v>
      </c>
      <c r="Y1270" s="245">
        <v>-21</v>
      </c>
      <c r="Z1270" s="245">
        <v>-48</v>
      </c>
      <c r="AA1270" s="245">
        <v>9.4</v>
      </c>
      <c r="AB1270" s="245">
        <v>162</v>
      </c>
      <c r="AC1270" s="245">
        <v>-10.1</v>
      </c>
      <c r="AD1270" s="245">
        <v>218</v>
      </c>
      <c r="AE1270" s="245">
        <v>-6.5</v>
      </c>
      <c r="AF1270" s="245">
        <v>233</v>
      </c>
      <c r="AG1270" s="245">
        <v>-5.5</v>
      </c>
      <c r="AH1270" s="245">
        <v>78</v>
      </c>
      <c r="AI1270" s="245">
        <v>78</v>
      </c>
      <c r="AJ1270" s="245">
        <v>104</v>
      </c>
      <c r="AK1270" s="245" t="s">
        <v>971</v>
      </c>
      <c r="AL1270" s="245">
        <v>4.5</v>
      </c>
      <c r="AM1270" s="246">
        <v>3</v>
      </c>
      <c r="AN1270" s="235">
        <v>374</v>
      </c>
      <c r="AO1270" s="247" t="s">
        <v>2690</v>
      </c>
      <c r="AP1270" s="247">
        <v>985</v>
      </c>
      <c r="AQ1270" s="247">
        <v>21.7</v>
      </c>
      <c r="AR1270" s="247">
        <v>25.9</v>
      </c>
      <c r="AS1270" s="247">
        <v>24.1</v>
      </c>
      <c r="AT1270" s="247">
        <v>40</v>
      </c>
      <c r="AU1270" s="247">
        <v>10.7</v>
      </c>
      <c r="AV1270" s="247">
        <v>69</v>
      </c>
      <c r="AW1270" s="247">
        <v>54</v>
      </c>
      <c r="AX1270" s="247">
        <v>435</v>
      </c>
      <c r="AY1270" s="247">
        <v>88</v>
      </c>
      <c r="AZ1270" s="247" t="s">
        <v>959</v>
      </c>
      <c r="BA1270" s="248">
        <v>3.2</v>
      </c>
      <c r="BB1270" s="235">
        <v>339</v>
      </c>
      <c r="BC1270" s="247" t="s">
        <v>250</v>
      </c>
      <c r="BD1270" s="247">
        <v>1.6</v>
      </c>
      <c r="BE1270" s="247">
        <v>1.7</v>
      </c>
      <c r="BF1270" s="247">
        <v>2.9</v>
      </c>
      <c r="BG1270" s="247">
        <v>5.3</v>
      </c>
      <c r="BH1270" s="247">
        <v>7.8</v>
      </c>
      <c r="BI1270" s="247">
        <v>11.6</v>
      </c>
      <c r="BJ1270" s="247">
        <v>14.7</v>
      </c>
      <c r="BK1270" s="247">
        <v>12.6</v>
      </c>
      <c r="BL1270" s="247">
        <v>9</v>
      </c>
      <c r="BM1270" s="247">
        <v>5.3</v>
      </c>
      <c r="BN1270" s="247">
        <v>3.3</v>
      </c>
      <c r="BO1270" s="247">
        <v>2.2000000000000002</v>
      </c>
      <c r="BP1270" s="248">
        <v>6.5</v>
      </c>
    </row>
    <row r="1271" spans="1:68" ht="14.25" customHeight="1">
      <c r="A1271" s="233">
        <v>614</v>
      </c>
      <c r="B1271" s="234">
        <v>254</v>
      </c>
      <c r="C1271" s="244" t="s">
        <v>928</v>
      </c>
      <c r="D1271" s="244" t="s">
        <v>1176</v>
      </c>
      <c r="E1271" s="244" t="s">
        <v>2691</v>
      </c>
      <c r="F1271" s="245">
        <v>-15.3</v>
      </c>
      <c r="G1271" s="245">
        <v>-13.4</v>
      </c>
      <c r="H1271" s="245">
        <v>-6.9</v>
      </c>
      <c r="I1271" s="245">
        <v>2.6</v>
      </c>
      <c r="J1271" s="245">
        <v>10.199999999999999</v>
      </c>
      <c r="K1271" s="245">
        <v>15.7</v>
      </c>
      <c r="L1271" s="245">
        <v>18</v>
      </c>
      <c r="M1271" s="245">
        <v>15.4</v>
      </c>
      <c r="N1271" s="245">
        <v>9.3000000000000007</v>
      </c>
      <c r="O1271" s="245">
        <v>1.4</v>
      </c>
      <c r="P1271" s="245">
        <v>-6.3</v>
      </c>
      <c r="Q1271" s="245">
        <v>-12.7</v>
      </c>
      <c r="R1271" s="246">
        <v>1.5</v>
      </c>
      <c r="S1271" s="233">
        <v>254</v>
      </c>
      <c r="T1271" s="247" t="s">
        <v>2692</v>
      </c>
      <c r="U1271" s="245">
        <v>-45</v>
      </c>
      <c r="V1271" s="245">
        <v>-42</v>
      </c>
      <c r="W1271" s="245">
        <v>-40</v>
      </c>
      <c r="X1271" s="245">
        <v>-37</v>
      </c>
      <c r="Y1271" s="245">
        <v>-22</v>
      </c>
      <c r="Z1271" s="245">
        <v>-52</v>
      </c>
      <c r="AA1271" s="245">
        <v>6.9</v>
      </c>
      <c r="AB1271" s="245">
        <v>176</v>
      </c>
      <c r="AC1271" s="245">
        <v>-10.9</v>
      </c>
      <c r="AD1271" s="245">
        <v>245</v>
      </c>
      <c r="AE1271" s="245">
        <v>-6.7</v>
      </c>
      <c r="AF1271" s="245">
        <v>261</v>
      </c>
      <c r="AG1271" s="245">
        <v>-5.7</v>
      </c>
      <c r="AH1271" s="245">
        <v>86</v>
      </c>
      <c r="AI1271" s="245">
        <v>83</v>
      </c>
      <c r="AJ1271" s="245">
        <v>229</v>
      </c>
      <c r="AK1271" s="245" t="s">
        <v>963</v>
      </c>
      <c r="AL1271" s="245" t="s">
        <v>931</v>
      </c>
      <c r="AM1271" s="246">
        <v>4.3</v>
      </c>
      <c r="AN1271" s="235">
        <v>254</v>
      </c>
      <c r="AO1271" s="247" t="s">
        <v>2693</v>
      </c>
      <c r="AP1271" s="247">
        <v>990</v>
      </c>
      <c r="AQ1271" s="247">
        <v>21</v>
      </c>
      <c r="AR1271" s="247">
        <v>26</v>
      </c>
      <c r="AS1271" s="247">
        <v>22</v>
      </c>
      <c r="AT1271" s="247">
        <v>36</v>
      </c>
      <c r="AU1271" s="247">
        <v>10</v>
      </c>
      <c r="AV1271" s="247">
        <v>70</v>
      </c>
      <c r="AW1271" s="247">
        <v>57</v>
      </c>
      <c r="AX1271" s="247">
        <v>439</v>
      </c>
      <c r="AY1271" s="247">
        <v>75</v>
      </c>
      <c r="AZ1271" s="247" t="s">
        <v>952</v>
      </c>
      <c r="BA1271" s="248" t="s">
        <v>934</v>
      </c>
      <c r="BB1271" s="235">
        <v>225</v>
      </c>
      <c r="BC1271" s="247" t="s">
        <v>2691</v>
      </c>
      <c r="BD1271" s="247">
        <v>1.9</v>
      </c>
      <c r="BE1271" s="247">
        <v>1.9</v>
      </c>
      <c r="BF1271" s="247">
        <v>2.9</v>
      </c>
      <c r="BG1271" s="247">
        <v>4.7</v>
      </c>
      <c r="BH1271" s="247">
        <v>6.6</v>
      </c>
      <c r="BI1271" s="247">
        <v>10.1</v>
      </c>
      <c r="BJ1271" s="247">
        <v>13.1</v>
      </c>
      <c r="BK1271" s="247">
        <v>12</v>
      </c>
      <c r="BL1271" s="247">
        <v>8.9</v>
      </c>
      <c r="BM1271" s="247">
        <v>5.5</v>
      </c>
      <c r="BN1271" s="247">
        <v>3.5</v>
      </c>
      <c r="BO1271" s="247">
        <v>2.2999999999999998</v>
      </c>
      <c r="BP1271" s="248">
        <v>6.1</v>
      </c>
    </row>
    <row r="1272" spans="1:68" ht="14.25" customHeight="1">
      <c r="A1272" s="233">
        <v>615</v>
      </c>
      <c r="B1272" s="234">
        <v>131</v>
      </c>
      <c r="C1272" s="244" t="s">
        <v>928</v>
      </c>
      <c r="D1272" s="244" t="s">
        <v>2694</v>
      </c>
      <c r="E1272" s="244" t="s">
        <v>2695</v>
      </c>
      <c r="F1272" s="245">
        <v>-4.4000000000000004</v>
      </c>
      <c r="G1272" s="245">
        <v>-2.2999999999999998</v>
      </c>
      <c r="H1272" s="245">
        <v>1.5</v>
      </c>
      <c r="I1272" s="245">
        <v>9</v>
      </c>
      <c r="J1272" s="245">
        <v>14.8</v>
      </c>
      <c r="K1272" s="245">
        <v>18.3</v>
      </c>
      <c r="L1272" s="245">
        <v>21.1</v>
      </c>
      <c r="M1272" s="245">
        <v>20.6</v>
      </c>
      <c r="N1272" s="245">
        <v>15.7</v>
      </c>
      <c r="O1272" s="245">
        <v>9.6</v>
      </c>
      <c r="P1272" s="245">
        <v>3.7</v>
      </c>
      <c r="Q1272" s="245">
        <v>-1.1000000000000001</v>
      </c>
      <c r="R1272" s="246">
        <v>8.8000000000000007</v>
      </c>
      <c r="S1272" s="233">
        <v>131</v>
      </c>
      <c r="T1272" s="247" t="s">
        <v>2696</v>
      </c>
      <c r="U1272" s="245">
        <v>-23</v>
      </c>
      <c r="V1272" s="245">
        <v>-21</v>
      </c>
      <c r="W1272" s="245">
        <v>-20</v>
      </c>
      <c r="X1272" s="245">
        <v>-18</v>
      </c>
      <c r="Y1272" s="245">
        <v>-9</v>
      </c>
      <c r="Z1272" s="245">
        <v>-29</v>
      </c>
      <c r="AA1272" s="245">
        <v>8.3000000000000007</v>
      </c>
      <c r="AB1272" s="245">
        <v>85</v>
      </c>
      <c r="AC1272" s="245">
        <v>-2.5</v>
      </c>
      <c r="AD1272" s="245">
        <v>169</v>
      </c>
      <c r="AE1272" s="245">
        <v>0.6</v>
      </c>
      <c r="AF1272" s="245">
        <v>189</v>
      </c>
      <c r="AG1272" s="245">
        <v>1.5</v>
      </c>
      <c r="AH1272" s="245">
        <v>81</v>
      </c>
      <c r="AI1272" s="245">
        <v>73</v>
      </c>
      <c r="AJ1272" s="245">
        <v>119</v>
      </c>
      <c r="AK1272" s="245" t="s">
        <v>982</v>
      </c>
      <c r="AL1272" s="245" t="s">
        <v>931</v>
      </c>
      <c r="AM1272" s="246">
        <v>3.2</v>
      </c>
      <c r="AN1272" s="235">
        <v>131</v>
      </c>
      <c r="AO1272" s="247" t="s">
        <v>2697</v>
      </c>
      <c r="AP1272" s="247">
        <v>955</v>
      </c>
      <c r="AQ1272" s="247">
        <v>24.8</v>
      </c>
      <c r="AR1272" s="247">
        <v>28.8</v>
      </c>
      <c r="AS1272" s="247">
        <v>27.2</v>
      </c>
      <c r="AT1272" s="247">
        <v>39</v>
      </c>
      <c r="AU1272" s="247">
        <v>11.5</v>
      </c>
      <c r="AV1272" s="247">
        <v>67</v>
      </c>
      <c r="AW1272" s="247">
        <v>48</v>
      </c>
      <c r="AX1272" s="247">
        <v>453</v>
      </c>
      <c r="AY1272" s="247">
        <v>92</v>
      </c>
      <c r="AZ1272" s="247" t="s">
        <v>973</v>
      </c>
      <c r="BA1272" s="248" t="s">
        <v>934</v>
      </c>
      <c r="BB1272" s="235">
        <v>114</v>
      </c>
      <c r="BC1272" s="247" t="s">
        <v>2695</v>
      </c>
      <c r="BD1272" s="247">
        <v>4.2</v>
      </c>
      <c r="BE1272" s="247">
        <v>44</v>
      </c>
      <c r="BF1272" s="247">
        <v>5.4</v>
      </c>
      <c r="BG1272" s="247">
        <v>7.7</v>
      </c>
      <c r="BH1272" s="247">
        <v>11.3</v>
      </c>
      <c r="BI1272" s="247">
        <v>14.2</v>
      </c>
      <c r="BJ1272" s="247">
        <v>16.2</v>
      </c>
      <c r="BK1272" s="247">
        <v>15.5</v>
      </c>
      <c r="BL1272" s="247">
        <v>12.3</v>
      </c>
      <c r="BM1272" s="247">
        <v>8.9</v>
      </c>
      <c r="BN1272" s="247">
        <v>6.6</v>
      </c>
      <c r="BO1272" s="247">
        <v>4.9000000000000004</v>
      </c>
      <c r="BP1272" s="248">
        <v>9.3000000000000007</v>
      </c>
    </row>
    <row r="1273" spans="1:68" ht="14.25" customHeight="1">
      <c r="A1273" s="233">
        <v>616</v>
      </c>
      <c r="B1273" s="234">
        <v>244</v>
      </c>
      <c r="C1273" s="244" t="s">
        <v>928</v>
      </c>
      <c r="D1273" s="244" t="s">
        <v>1583</v>
      </c>
      <c r="E1273" s="244" t="s">
        <v>2698</v>
      </c>
      <c r="F1273" s="245">
        <v>-19.2</v>
      </c>
      <c r="G1273" s="245">
        <v>-17.899999999999999</v>
      </c>
      <c r="H1273" s="245">
        <v>-10.3</v>
      </c>
      <c r="I1273" s="245">
        <v>3.2</v>
      </c>
      <c r="J1273" s="245">
        <v>12.1</v>
      </c>
      <c r="K1273" s="245">
        <v>18</v>
      </c>
      <c r="L1273" s="245">
        <v>19.8</v>
      </c>
      <c r="M1273" s="245">
        <v>16.5</v>
      </c>
      <c r="N1273" s="245">
        <v>11.3</v>
      </c>
      <c r="O1273" s="245">
        <v>2.2000000000000002</v>
      </c>
      <c r="P1273" s="245">
        <v>-8.4</v>
      </c>
      <c r="Q1273" s="245">
        <v>-15.8</v>
      </c>
      <c r="R1273" s="246">
        <v>1</v>
      </c>
      <c r="S1273" s="233">
        <v>244</v>
      </c>
      <c r="T1273" s="247" t="s">
        <v>2699</v>
      </c>
      <c r="U1273" s="245">
        <v>-41</v>
      </c>
      <c r="V1273" s="245">
        <v>-40</v>
      </c>
      <c r="W1273" s="245">
        <v>-39</v>
      </c>
      <c r="X1273" s="245">
        <v>-37</v>
      </c>
      <c r="Y1273" s="245">
        <v>-24</v>
      </c>
      <c r="Z1273" s="245">
        <v>-44</v>
      </c>
      <c r="AA1273" s="245">
        <v>8.8000000000000007</v>
      </c>
      <c r="AB1273" s="245">
        <v>168</v>
      </c>
      <c r="AC1273" s="245">
        <v>-12.5</v>
      </c>
      <c r="AD1273" s="245">
        <v>217</v>
      </c>
      <c r="AE1273" s="245">
        <v>-8.6999999999999993</v>
      </c>
      <c r="AF1273" s="245">
        <v>231</v>
      </c>
      <c r="AG1273" s="245">
        <v>-7.6</v>
      </c>
      <c r="AH1273" s="245">
        <v>82</v>
      </c>
      <c r="AI1273" s="245">
        <v>81</v>
      </c>
      <c r="AJ1273" s="245">
        <v>82</v>
      </c>
      <c r="AK1273" s="245" t="s">
        <v>971</v>
      </c>
      <c r="AL1273" s="245">
        <v>5.4</v>
      </c>
      <c r="AM1273" s="246" t="s">
        <v>931</v>
      </c>
      <c r="AN1273" s="235">
        <v>244</v>
      </c>
      <c r="AO1273" s="247" t="s">
        <v>2700</v>
      </c>
      <c r="AP1273" s="247">
        <v>995</v>
      </c>
      <c r="AQ1273" s="247">
        <v>23.7</v>
      </c>
      <c r="AR1273" s="247">
        <v>27.7</v>
      </c>
      <c r="AS1273" s="247">
        <v>26.1</v>
      </c>
      <c r="AT1273" s="247">
        <v>41</v>
      </c>
      <c r="AU1273" s="247">
        <v>11.9</v>
      </c>
      <c r="AV1273" s="247">
        <v>66</v>
      </c>
      <c r="AW1273" s="247">
        <v>49</v>
      </c>
      <c r="AX1273" s="247">
        <v>279</v>
      </c>
      <c r="AY1273" s="247" t="s">
        <v>965</v>
      </c>
      <c r="AZ1273" s="247" t="s">
        <v>959</v>
      </c>
      <c r="BA1273" s="248">
        <v>3.8</v>
      </c>
      <c r="BB1273" s="235">
        <v>215</v>
      </c>
      <c r="BC1273" s="247" t="s">
        <v>2698</v>
      </c>
      <c r="BD1273" s="247">
        <v>1.4</v>
      </c>
      <c r="BE1273" s="247">
        <v>1.5</v>
      </c>
      <c r="BF1273" s="247">
        <v>2.6</v>
      </c>
      <c r="BG1273" s="247">
        <v>5.4</v>
      </c>
      <c r="BH1273" s="247">
        <v>7.5</v>
      </c>
      <c r="BI1273" s="247">
        <v>11.5</v>
      </c>
      <c r="BJ1273" s="247">
        <v>14.6</v>
      </c>
      <c r="BK1273" s="247">
        <v>12.6</v>
      </c>
      <c r="BL1273" s="247">
        <v>8.8000000000000007</v>
      </c>
      <c r="BM1273" s="247">
        <v>5.5</v>
      </c>
      <c r="BN1273" s="247">
        <v>3.3</v>
      </c>
      <c r="BO1273" s="247">
        <v>1.9</v>
      </c>
      <c r="BP1273" s="248">
        <v>6.4</v>
      </c>
    </row>
    <row r="1274" spans="1:68" ht="14.25" customHeight="1">
      <c r="A1274" s="233">
        <v>617</v>
      </c>
      <c r="B1274" s="234">
        <v>647</v>
      </c>
      <c r="C1274" s="244" t="s">
        <v>953</v>
      </c>
      <c r="D1274" s="244" t="s">
        <v>2701</v>
      </c>
      <c r="E1274" s="244" t="s">
        <v>2702</v>
      </c>
      <c r="F1274" s="245">
        <v>-7.1</v>
      </c>
      <c r="G1274" s="245">
        <v>-5.6</v>
      </c>
      <c r="H1274" s="245">
        <v>-0.6</v>
      </c>
      <c r="I1274" s="245">
        <v>7.8</v>
      </c>
      <c r="J1274" s="245">
        <v>14.5</v>
      </c>
      <c r="K1274" s="245">
        <v>17.600000000000001</v>
      </c>
      <c r="L1274" s="245">
        <v>18.7</v>
      </c>
      <c r="M1274" s="245">
        <v>17.7</v>
      </c>
      <c r="N1274" s="245">
        <v>12.8</v>
      </c>
      <c r="O1274" s="245">
        <v>6.8</v>
      </c>
      <c r="P1274" s="245">
        <v>1.2</v>
      </c>
      <c r="Q1274" s="245">
        <v>-3.3</v>
      </c>
      <c r="R1274" s="246">
        <v>6.7</v>
      </c>
      <c r="S1274" s="233">
        <v>636</v>
      </c>
      <c r="T1274" s="247" t="s">
        <v>2702</v>
      </c>
      <c r="U1274" s="245">
        <v>-31</v>
      </c>
      <c r="V1274" s="245">
        <v>-28</v>
      </c>
      <c r="W1274" s="245">
        <v>-27</v>
      </c>
      <c r="X1274" s="245">
        <v>-23</v>
      </c>
      <c r="Y1274" s="245">
        <v>-10</v>
      </c>
      <c r="Z1274" s="245">
        <v>-36</v>
      </c>
      <c r="AA1274" s="245" t="s">
        <v>956</v>
      </c>
      <c r="AB1274" s="245">
        <v>115</v>
      </c>
      <c r="AC1274" s="245">
        <v>-4.5</v>
      </c>
      <c r="AD1274" s="245">
        <v>185</v>
      </c>
      <c r="AE1274" s="245">
        <v>-1.4</v>
      </c>
      <c r="AF1274" s="245">
        <v>202</v>
      </c>
      <c r="AG1274" s="245">
        <v>-0.5</v>
      </c>
      <c r="AH1274" s="245" t="s">
        <v>956</v>
      </c>
      <c r="AI1274" s="245" t="s">
        <v>956</v>
      </c>
      <c r="AJ1274" s="245">
        <v>210</v>
      </c>
      <c r="AK1274" s="245" t="s">
        <v>963</v>
      </c>
      <c r="AL1274" s="245" t="s">
        <v>931</v>
      </c>
      <c r="AM1274" s="246" t="s">
        <v>931</v>
      </c>
      <c r="AN1274" s="235">
        <v>637</v>
      </c>
      <c r="AO1274" s="247" t="s">
        <v>2703</v>
      </c>
      <c r="AP1274" s="247">
        <v>1000</v>
      </c>
      <c r="AQ1274" s="247">
        <v>28</v>
      </c>
      <c r="AR1274" s="247">
        <v>23</v>
      </c>
      <c r="AS1274" s="247">
        <v>24.5</v>
      </c>
      <c r="AT1274" s="247">
        <v>39</v>
      </c>
      <c r="AU1274" s="247" t="s">
        <v>934</v>
      </c>
      <c r="AV1274" s="247" t="s">
        <v>958</v>
      </c>
      <c r="AW1274" s="247" t="s">
        <v>931</v>
      </c>
      <c r="AX1274" s="247" t="s">
        <v>931</v>
      </c>
      <c r="AY1274" s="247">
        <v>78</v>
      </c>
      <c r="AZ1274" s="247" t="s">
        <v>1005</v>
      </c>
      <c r="BA1274" s="248">
        <v>2.1</v>
      </c>
      <c r="BB1274" s="235"/>
      <c r="BC1274" s="247" t="s">
        <v>2702</v>
      </c>
      <c r="BD1274" s="247"/>
      <c r="BE1274" s="247"/>
      <c r="BF1274" s="247"/>
      <c r="BG1274" s="247"/>
      <c r="BH1274" s="247"/>
      <c r="BI1274" s="247"/>
      <c r="BJ1274" s="247"/>
      <c r="BK1274" s="247"/>
      <c r="BL1274" s="247"/>
      <c r="BM1274" s="247"/>
      <c r="BN1274" s="247"/>
      <c r="BO1274" s="247"/>
      <c r="BP1274" s="248"/>
    </row>
    <row r="1275" spans="1:68" ht="14.25" customHeight="1">
      <c r="A1275" s="233">
        <v>618</v>
      </c>
      <c r="B1275" s="234">
        <v>648</v>
      </c>
      <c r="C1275" s="244" t="s">
        <v>953</v>
      </c>
      <c r="D1275" s="244" t="s">
        <v>2704</v>
      </c>
      <c r="E1275" s="244" t="s">
        <v>2705</v>
      </c>
      <c r="F1275" s="245">
        <v>-4.9000000000000004</v>
      </c>
      <c r="G1275" s="245">
        <v>-2.9</v>
      </c>
      <c r="H1275" s="245">
        <v>1.7</v>
      </c>
      <c r="I1275" s="245">
        <v>8.6999999999999993</v>
      </c>
      <c r="J1275" s="245">
        <v>14.3</v>
      </c>
      <c r="K1275" s="245">
        <v>17.399999999999999</v>
      </c>
      <c r="L1275" s="245">
        <v>18.7</v>
      </c>
      <c r="M1275" s="245">
        <v>18</v>
      </c>
      <c r="N1275" s="245">
        <v>14.3</v>
      </c>
      <c r="O1275" s="245">
        <v>8.6</v>
      </c>
      <c r="P1275" s="245">
        <v>2.9</v>
      </c>
      <c r="Q1275" s="245">
        <v>-1.9</v>
      </c>
      <c r="R1275" s="246">
        <v>7.9</v>
      </c>
      <c r="S1275" s="233">
        <v>637</v>
      </c>
      <c r="T1275" s="247" t="s">
        <v>2705</v>
      </c>
      <c r="U1275" s="245">
        <v>-26</v>
      </c>
      <c r="V1275" s="245">
        <v>-24</v>
      </c>
      <c r="W1275" s="245">
        <v>-22</v>
      </c>
      <c r="X1275" s="245">
        <v>-20</v>
      </c>
      <c r="Y1275" s="245">
        <v>-9</v>
      </c>
      <c r="Z1275" s="245">
        <v>-32</v>
      </c>
      <c r="AA1275" s="245" t="s">
        <v>956</v>
      </c>
      <c r="AB1275" s="245">
        <v>92</v>
      </c>
      <c r="AC1275" s="245">
        <v>-3.2</v>
      </c>
      <c r="AD1275" s="245">
        <v>173</v>
      </c>
      <c r="AE1275" s="245">
        <v>0</v>
      </c>
      <c r="AF1275" s="245">
        <v>191</v>
      </c>
      <c r="AG1275" s="245">
        <v>0.9</v>
      </c>
      <c r="AH1275" s="245" t="s">
        <v>956</v>
      </c>
      <c r="AI1275" s="245" t="s">
        <v>956</v>
      </c>
      <c r="AJ1275" s="245">
        <v>173</v>
      </c>
      <c r="AK1275" s="245" t="s">
        <v>944</v>
      </c>
      <c r="AL1275" s="245">
        <v>6.3</v>
      </c>
      <c r="AM1275" s="246" t="s">
        <v>931</v>
      </c>
      <c r="AN1275" s="235">
        <v>638</v>
      </c>
      <c r="AO1275" s="247" t="s">
        <v>2706</v>
      </c>
      <c r="AP1275" s="247">
        <v>990</v>
      </c>
      <c r="AQ1275" s="247">
        <v>26</v>
      </c>
      <c r="AR1275" s="247">
        <v>23</v>
      </c>
      <c r="AS1275" s="247">
        <v>24.5</v>
      </c>
      <c r="AT1275" s="247">
        <v>38</v>
      </c>
      <c r="AU1275" s="247" t="s">
        <v>934</v>
      </c>
      <c r="AV1275" s="247" t="s">
        <v>958</v>
      </c>
      <c r="AW1275" s="247" t="s">
        <v>931</v>
      </c>
      <c r="AX1275" s="247" t="s">
        <v>931</v>
      </c>
      <c r="AY1275" s="247">
        <v>117</v>
      </c>
      <c r="AZ1275" s="247" t="s">
        <v>959</v>
      </c>
      <c r="BA1275" s="248">
        <v>2</v>
      </c>
      <c r="BB1275" s="235"/>
      <c r="BC1275" s="247" t="s">
        <v>2705</v>
      </c>
      <c r="BD1275" s="247"/>
      <c r="BE1275" s="247"/>
      <c r="BF1275" s="247"/>
      <c r="BG1275" s="247"/>
      <c r="BH1275" s="247"/>
      <c r="BI1275" s="247"/>
      <c r="BJ1275" s="247"/>
      <c r="BK1275" s="247"/>
      <c r="BL1275" s="247"/>
      <c r="BM1275" s="247"/>
      <c r="BN1275" s="247"/>
      <c r="BO1275" s="247"/>
      <c r="BP1275" s="248"/>
    </row>
    <row r="1276" spans="1:68" ht="14.25" customHeight="1">
      <c r="A1276" s="233">
        <v>619</v>
      </c>
      <c r="B1276" s="234">
        <v>35</v>
      </c>
      <c r="C1276" s="244" t="s">
        <v>928</v>
      </c>
      <c r="D1276" s="244" t="s">
        <v>1046</v>
      </c>
      <c r="E1276" s="244" t="s">
        <v>2707</v>
      </c>
      <c r="F1276" s="245">
        <v>-27.9</v>
      </c>
      <c r="G1276" s="245">
        <v>-22.4</v>
      </c>
      <c r="H1276" s="245">
        <v>-12.5</v>
      </c>
      <c r="I1276" s="245">
        <v>0.2</v>
      </c>
      <c r="J1276" s="245">
        <v>8.8000000000000007</v>
      </c>
      <c r="K1276" s="245">
        <v>16.100000000000001</v>
      </c>
      <c r="L1276" s="245">
        <v>19.600000000000001</v>
      </c>
      <c r="M1276" s="245">
        <v>16.8</v>
      </c>
      <c r="N1276" s="245">
        <v>9.6999999999999993</v>
      </c>
      <c r="O1276" s="245">
        <v>-1.2</v>
      </c>
      <c r="P1276" s="245">
        <v>-16</v>
      </c>
      <c r="Q1276" s="245">
        <v>-25.9</v>
      </c>
      <c r="R1276" s="246">
        <v>-2.9</v>
      </c>
      <c r="S1276" s="233">
        <v>35</v>
      </c>
      <c r="T1276" s="247" t="s">
        <v>2708</v>
      </c>
      <c r="U1276" s="245">
        <v>-45</v>
      </c>
      <c r="V1276" s="245">
        <v>-43</v>
      </c>
      <c r="W1276" s="245">
        <v>-42</v>
      </c>
      <c r="X1276" s="245">
        <v>-41</v>
      </c>
      <c r="Y1276" s="245">
        <v>-33</v>
      </c>
      <c r="Z1276" s="245">
        <v>-52</v>
      </c>
      <c r="AA1276" s="245">
        <v>13</v>
      </c>
      <c r="AB1276" s="245">
        <v>184</v>
      </c>
      <c r="AC1276" s="245">
        <v>-17.2</v>
      </c>
      <c r="AD1276" s="245">
        <v>235</v>
      </c>
      <c r="AE1276" s="245">
        <v>-12.7</v>
      </c>
      <c r="AF1276" s="245">
        <v>249</v>
      </c>
      <c r="AG1276" s="245">
        <v>-11.5</v>
      </c>
      <c r="AH1276" s="245">
        <v>72</v>
      </c>
      <c r="AI1276" s="245">
        <v>67</v>
      </c>
      <c r="AJ1276" s="245">
        <v>40</v>
      </c>
      <c r="AK1276" s="245" t="s">
        <v>944</v>
      </c>
      <c r="AL1276" s="245">
        <v>1.9</v>
      </c>
      <c r="AM1276" s="246" t="s">
        <v>931</v>
      </c>
      <c r="AN1276" s="235">
        <v>35</v>
      </c>
      <c r="AO1276" s="247" t="s">
        <v>2709</v>
      </c>
      <c r="AP1276" s="247">
        <v>980</v>
      </c>
      <c r="AQ1276" s="247">
        <v>23.5</v>
      </c>
      <c r="AR1276" s="247">
        <v>27.6</v>
      </c>
      <c r="AS1276" s="247">
        <v>25.9</v>
      </c>
      <c r="AT1276" s="247">
        <v>37</v>
      </c>
      <c r="AU1276" s="247">
        <v>12.4</v>
      </c>
      <c r="AV1276" s="247">
        <v>78</v>
      </c>
      <c r="AW1276" s="247">
        <v>59</v>
      </c>
      <c r="AX1276" s="247">
        <v>415</v>
      </c>
      <c r="AY1276" s="247">
        <v>86</v>
      </c>
      <c r="AZ1276" s="247" t="s">
        <v>940</v>
      </c>
      <c r="BA1276" s="248" t="s">
        <v>934</v>
      </c>
      <c r="BB1276" s="235">
        <v>22</v>
      </c>
      <c r="BC1276" s="247" t="s">
        <v>2707</v>
      </c>
      <c r="BD1276" s="247">
        <v>0.6</v>
      </c>
      <c r="BE1276" s="247">
        <v>0.8</v>
      </c>
      <c r="BF1276" s="247">
        <v>1.7</v>
      </c>
      <c r="BG1276" s="247">
        <v>3.8</v>
      </c>
      <c r="BH1276" s="247">
        <v>6.7</v>
      </c>
      <c r="BI1276" s="247">
        <v>13</v>
      </c>
      <c r="BJ1276" s="247">
        <v>17.7</v>
      </c>
      <c r="BK1276" s="247">
        <v>15.7</v>
      </c>
      <c r="BL1276" s="247">
        <v>9.1999999999999993</v>
      </c>
      <c r="BM1276" s="247">
        <v>4</v>
      </c>
      <c r="BN1276" s="247">
        <v>1.5</v>
      </c>
      <c r="BO1276" s="247">
        <v>0.7</v>
      </c>
      <c r="BP1276" s="248">
        <v>6.3</v>
      </c>
    </row>
    <row r="1277" spans="1:68" ht="14.25" customHeight="1">
      <c r="A1277" s="233">
        <v>620</v>
      </c>
      <c r="B1277" s="234">
        <v>589</v>
      </c>
      <c r="C1277" s="244" t="s">
        <v>1015</v>
      </c>
      <c r="D1277" s="244" t="s">
        <v>1642</v>
      </c>
      <c r="E1277" s="244" t="s">
        <v>2710</v>
      </c>
      <c r="F1277" s="245">
        <v>-6.1</v>
      </c>
      <c r="G1277" s="245">
        <v>-4.5</v>
      </c>
      <c r="H1277" s="245">
        <v>2.4</v>
      </c>
      <c r="I1277" s="245">
        <v>12.4</v>
      </c>
      <c r="J1277" s="245">
        <v>19.899999999999999</v>
      </c>
      <c r="K1277" s="245">
        <v>24.4</v>
      </c>
      <c r="L1277" s="245">
        <v>26.4</v>
      </c>
      <c r="M1277" s="245">
        <v>24.1</v>
      </c>
      <c r="N1277" s="245">
        <v>17.899999999999999</v>
      </c>
      <c r="O1277" s="245">
        <v>9.8000000000000007</v>
      </c>
      <c r="P1277" s="245">
        <v>2.1</v>
      </c>
      <c r="Q1277" s="245">
        <v>-3.8</v>
      </c>
      <c r="R1277" s="246">
        <v>10.4</v>
      </c>
      <c r="S1277" s="233">
        <v>578</v>
      </c>
      <c r="T1277" s="247" t="s">
        <v>2710</v>
      </c>
      <c r="U1277" s="245">
        <v>-27</v>
      </c>
      <c r="V1277" s="245">
        <v>-24</v>
      </c>
      <c r="W1277" s="245">
        <v>-23</v>
      </c>
      <c r="X1277" s="245" t="s">
        <v>965</v>
      </c>
      <c r="Y1277" s="245">
        <v>-10</v>
      </c>
      <c r="Z1277" s="245">
        <v>-34</v>
      </c>
      <c r="AA1277" s="245">
        <v>9.4</v>
      </c>
      <c r="AB1277" s="245">
        <v>100</v>
      </c>
      <c r="AC1277" s="245" t="s">
        <v>958</v>
      </c>
      <c r="AD1277" s="245">
        <v>163</v>
      </c>
      <c r="AE1277" s="245">
        <v>-1.3</v>
      </c>
      <c r="AF1277" s="245" t="s">
        <v>933</v>
      </c>
      <c r="AG1277" s="245" t="s">
        <v>931</v>
      </c>
      <c r="AH1277" s="245" t="s">
        <v>956</v>
      </c>
      <c r="AI1277" s="245" t="s">
        <v>956</v>
      </c>
      <c r="AJ1277" s="245" t="s">
        <v>1018</v>
      </c>
      <c r="AK1277" s="245" t="s">
        <v>931</v>
      </c>
      <c r="AL1277" s="245">
        <v>3</v>
      </c>
      <c r="AM1277" s="246" t="s">
        <v>931</v>
      </c>
      <c r="AN1277" s="235">
        <v>579</v>
      </c>
      <c r="AO1277" s="247" t="s">
        <v>2711</v>
      </c>
      <c r="AP1277" s="247">
        <v>1010</v>
      </c>
      <c r="AQ1277" s="247">
        <v>34.700000000000003</v>
      </c>
      <c r="AR1277" s="247">
        <v>39.200000000000003</v>
      </c>
      <c r="AS1277" s="247">
        <v>34.200000000000003</v>
      </c>
      <c r="AT1277" s="247">
        <v>44</v>
      </c>
      <c r="AU1277" s="247">
        <v>15.1</v>
      </c>
      <c r="AV1277" s="247" t="s">
        <v>958</v>
      </c>
      <c r="AW1277" s="247" t="s">
        <v>931</v>
      </c>
      <c r="AX1277" s="247" t="s">
        <v>931</v>
      </c>
      <c r="AY1277" s="247">
        <v>33</v>
      </c>
      <c r="AZ1277" s="247" t="s">
        <v>933</v>
      </c>
      <c r="BA1277" s="248">
        <v>0</v>
      </c>
      <c r="BB1277" s="235"/>
      <c r="BC1277" s="247" t="s">
        <v>2710</v>
      </c>
      <c r="BD1277" s="247"/>
      <c r="BE1277" s="247"/>
      <c r="BF1277" s="247"/>
      <c r="BG1277" s="247"/>
      <c r="BH1277" s="247"/>
      <c r="BI1277" s="247"/>
      <c r="BJ1277" s="247"/>
      <c r="BK1277" s="247"/>
      <c r="BL1277" s="247"/>
      <c r="BM1277" s="247"/>
      <c r="BN1277" s="247"/>
      <c r="BO1277" s="247"/>
      <c r="BP1277" s="248"/>
    </row>
    <row r="1278" spans="1:68" ht="14.25" customHeight="1">
      <c r="A1278" s="233">
        <v>621</v>
      </c>
      <c r="B1278" s="234">
        <v>538</v>
      </c>
      <c r="C1278" s="244" t="s">
        <v>960</v>
      </c>
      <c r="D1278" s="244" t="s">
        <v>2528</v>
      </c>
      <c r="E1278" s="244" t="s">
        <v>2712</v>
      </c>
      <c r="F1278" s="245">
        <v>-2</v>
      </c>
      <c r="G1278" s="245">
        <v>0</v>
      </c>
      <c r="H1278" s="245">
        <v>5.6</v>
      </c>
      <c r="I1278" s="245">
        <v>13.1</v>
      </c>
      <c r="J1278" s="245">
        <v>18.399999999999999</v>
      </c>
      <c r="K1278" s="245">
        <v>23.5</v>
      </c>
      <c r="L1278" s="245">
        <v>26.3</v>
      </c>
      <c r="M1278" s="245">
        <v>24.8</v>
      </c>
      <c r="N1278" s="245">
        <v>19.3</v>
      </c>
      <c r="O1278" s="245">
        <v>12.3</v>
      </c>
      <c r="P1278" s="245">
        <v>5.2</v>
      </c>
      <c r="Q1278" s="245">
        <v>0.2</v>
      </c>
      <c r="R1278" s="246">
        <v>12.2</v>
      </c>
      <c r="S1278" s="233">
        <v>538</v>
      </c>
      <c r="T1278" s="247" t="s">
        <v>2712</v>
      </c>
      <c r="U1278" s="245">
        <v>-26</v>
      </c>
      <c r="V1278" s="245">
        <v>-25</v>
      </c>
      <c r="W1278" s="245">
        <v>-17</v>
      </c>
      <c r="X1278" s="245">
        <v>-15</v>
      </c>
      <c r="Y1278" s="245" t="s">
        <v>956</v>
      </c>
      <c r="Z1278" s="245" t="s">
        <v>931</v>
      </c>
      <c r="AA1278" s="245">
        <v>9.8000000000000007</v>
      </c>
      <c r="AB1278" s="245">
        <v>61</v>
      </c>
      <c r="AC1278" s="245">
        <v>-1.9</v>
      </c>
      <c r="AD1278" s="245">
        <v>143</v>
      </c>
      <c r="AE1278" s="245">
        <v>1.5</v>
      </c>
      <c r="AF1278" s="245">
        <v>160</v>
      </c>
      <c r="AG1278" s="245">
        <v>2.2000000000000002</v>
      </c>
      <c r="AH1278" s="245" t="s">
        <v>956</v>
      </c>
      <c r="AI1278" s="245" t="s">
        <v>956</v>
      </c>
      <c r="AJ1278" s="245">
        <v>368</v>
      </c>
      <c r="AK1278" s="245" t="s">
        <v>982</v>
      </c>
      <c r="AL1278" s="245">
        <v>4.3</v>
      </c>
      <c r="AM1278" s="246">
        <v>2.5</v>
      </c>
      <c r="AN1278" s="235">
        <v>538</v>
      </c>
      <c r="AO1278" s="247" t="s">
        <v>2713</v>
      </c>
      <c r="AP1278" s="247" t="s">
        <v>965</v>
      </c>
      <c r="AQ1278" s="247" t="s">
        <v>958</v>
      </c>
      <c r="AR1278" s="247" t="s">
        <v>931</v>
      </c>
      <c r="AS1278" s="247">
        <v>33</v>
      </c>
      <c r="AT1278" s="247">
        <v>44</v>
      </c>
      <c r="AU1278" s="247">
        <v>14.9</v>
      </c>
      <c r="AV1278" s="247" t="s">
        <v>958</v>
      </c>
      <c r="AW1278" s="247" t="s">
        <v>931</v>
      </c>
      <c r="AX1278" s="247">
        <v>208</v>
      </c>
      <c r="AY1278" s="247" t="s">
        <v>965</v>
      </c>
      <c r="AZ1278" s="247" t="s">
        <v>1038</v>
      </c>
      <c r="BA1278" s="248">
        <v>2.4</v>
      </c>
      <c r="BB1278" s="235"/>
      <c r="BC1278" s="247" t="s">
        <v>2712</v>
      </c>
      <c r="BD1278" s="247"/>
      <c r="BE1278" s="247"/>
      <c r="BF1278" s="247"/>
      <c r="BG1278" s="247"/>
      <c r="BH1278" s="247"/>
      <c r="BI1278" s="247"/>
      <c r="BJ1278" s="247"/>
      <c r="BK1278" s="247"/>
      <c r="BL1278" s="247"/>
      <c r="BM1278" s="247"/>
      <c r="BN1278" s="247"/>
      <c r="BO1278" s="247"/>
      <c r="BP1278" s="248"/>
    </row>
    <row r="1279" spans="1:68" ht="14.25" customHeight="1">
      <c r="A1279" s="233">
        <v>622</v>
      </c>
      <c r="B1279" s="234">
        <v>390</v>
      </c>
      <c r="C1279" s="244" t="s">
        <v>928</v>
      </c>
      <c r="D1279" s="244" t="s">
        <v>947</v>
      </c>
      <c r="E1279" s="244" t="s">
        <v>251</v>
      </c>
      <c r="F1279" s="245">
        <v>-26.2</v>
      </c>
      <c r="G1279" s="245">
        <v>-22.2</v>
      </c>
      <c r="H1279" s="245">
        <v>-11.1</v>
      </c>
      <c r="I1279" s="245">
        <v>-0.4</v>
      </c>
      <c r="J1279" s="245">
        <v>8.4</v>
      </c>
      <c r="K1279" s="245">
        <v>15.7</v>
      </c>
      <c r="L1279" s="245">
        <v>17.8</v>
      </c>
      <c r="M1279" s="245">
        <v>15.2</v>
      </c>
      <c r="N1279" s="245">
        <v>7.7</v>
      </c>
      <c r="O1279" s="245">
        <v>-1.8</v>
      </c>
      <c r="P1279" s="245">
        <v>-14.3</v>
      </c>
      <c r="Q1279" s="245">
        <v>-23.5</v>
      </c>
      <c r="R1279" s="246">
        <v>-2.9</v>
      </c>
      <c r="S1279" s="233">
        <v>390</v>
      </c>
      <c r="T1279" s="247" t="s">
        <v>2714</v>
      </c>
      <c r="U1279" s="245">
        <v>-44</v>
      </c>
      <c r="V1279" s="245">
        <v>-41</v>
      </c>
      <c r="W1279" s="245">
        <v>-42</v>
      </c>
      <c r="X1279" s="245">
        <v>-38</v>
      </c>
      <c r="Y1279" s="245">
        <v>-31</v>
      </c>
      <c r="Z1279" s="245">
        <v>-47</v>
      </c>
      <c r="AA1279" s="245">
        <v>14.5</v>
      </c>
      <c r="AB1279" s="245">
        <v>189</v>
      </c>
      <c r="AC1279" s="245">
        <v>-15.8</v>
      </c>
      <c r="AD1279" s="245">
        <v>242</v>
      </c>
      <c r="AE1279" s="245">
        <v>-11.4</v>
      </c>
      <c r="AF1279" s="245">
        <v>258</v>
      </c>
      <c r="AG1279" s="245">
        <v>-10.1</v>
      </c>
      <c r="AH1279" s="245">
        <v>75</v>
      </c>
      <c r="AI1279" s="245">
        <v>64</v>
      </c>
      <c r="AJ1279" s="245">
        <v>20</v>
      </c>
      <c r="AK1279" s="245" t="s">
        <v>982</v>
      </c>
      <c r="AL1279" s="245">
        <v>3.2</v>
      </c>
      <c r="AM1279" s="246">
        <v>2.4</v>
      </c>
      <c r="AN1279" s="235">
        <v>390</v>
      </c>
      <c r="AO1279" s="247" t="s">
        <v>2715</v>
      </c>
      <c r="AP1279" s="247">
        <v>935</v>
      </c>
      <c r="AQ1279" s="247">
        <v>22.8</v>
      </c>
      <c r="AR1279" s="247">
        <v>26.9</v>
      </c>
      <c r="AS1279" s="247">
        <v>25.2</v>
      </c>
      <c r="AT1279" s="247">
        <v>38</v>
      </c>
      <c r="AU1279" s="247">
        <v>14.2</v>
      </c>
      <c r="AV1279" s="247">
        <v>71</v>
      </c>
      <c r="AW1279" s="247">
        <v>53</v>
      </c>
      <c r="AX1279" s="247">
        <v>316</v>
      </c>
      <c r="AY1279" s="247">
        <v>51</v>
      </c>
      <c r="AZ1279" s="247" t="s">
        <v>1005</v>
      </c>
      <c r="BA1279" s="248">
        <v>0</v>
      </c>
      <c r="BB1279" s="235">
        <v>354</v>
      </c>
      <c r="BC1279" s="247" t="s">
        <v>251</v>
      </c>
      <c r="BD1279" s="247">
        <v>0.6</v>
      </c>
      <c r="BE1279" s="247">
        <v>0.9</v>
      </c>
      <c r="BF1279" s="247">
        <v>1.7</v>
      </c>
      <c r="BG1279" s="247">
        <v>2.8</v>
      </c>
      <c r="BH1279" s="247">
        <v>4.7</v>
      </c>
      <c r="BI1279" s="247">
        <v>9.5</v>
      </c>
      <c r="BJ1279" s="247">
        <v>13.8</v>
      </c>
      <c r="BK1279" s="247">
        <v>12.4</v>
      </c>
      <c r="BL1279" s="247">
        <v>7.1</v>
      </c>
      <c r="BM1279" s="247">
        <v>3.5</v>
      </c>
      <c r="BN1279" s="247">
        <v>1.6</v>
      </c>
      <c r="BO1279" s="247">
        <v>0.9</v>
      </c>
      <c r="BP1279" s="248">
        <v>5</v>
      </c>
    </row>
    <row r="1280" spans="1:68" ht="14.25" customHeight="1">
      <c r="A1280" s="233">
        <v>623</v>
      </c>
      <c r="B1280" s="234">
        <v>540</v>
      </c>
      <c r="C1280" s="244" t="s">
        <v>1180</v>
      </c>
      <c r="D1280" s="244" t="s">
        <v>1645</v>
      </c>
      <c r="E1280" s="244" t="s">
        <v>2716</v>
      </c>
      <c r="F1280" s="245">
        <v>-3.4</v>
      </c>
      <c r="G1280" s="245">
        <v>-2.1</v>
      </c>
      <c r="H1280" s="245">
        <v>1.7</v>
      </c>
      <c r="I1280" s="245">
        <v>7.1</v>
      </c>
      <c r="J1280" s="245">
        <v>11.3</v>
      </c>
      <c r="K1280" s="245">
        <v>14.6</v>
      </c>
      <c r="L1280" s="245">
        <v>17</v>
      </c>
      <c r="M1280" s="245">
        <v>16.7</v>
      </c>
      <c r="N1280" s="245">
        <v>13.1</v>
      </c>
      <c r="O1280" s="245">
        <v>7.8</v>
      </c>
      <c r="P1280" s="245">
        <v>1.9</v>
      </c>
      <c r="Q1280" s="245">
        <v>-1.6</v>
      </c>
      <c r="R1280" s="246">
        <v>7</v>
      </c>
      <c r="S1280" s="233">
        <v>540</v>
      </c>
      <c r="T1280" s="247" t="s">
        <v>2716</v>
      </c>
      <c r="U1280" s="245">
        <v>-14</v>
      </c>
      <c r="V1280" s="245">
        <v>-13</v>
      </c>
      <c r="W1280" s="245">
        <v>-11</v>
      </c>
      <c r="X1280" s="245">
        <v>-10</v>
      </c>
      <c r="Y1280" s="245" t="s">
        <v>956</v>
      </c>
      <c r="Z1280" s="245" t="s">
        <v>931</v>
      </c>
      <c r="AA1280" s="245" t="s">
        <v>956</v>
      </c>
      <c r="AB1280" s="245" t="s">
        <v>1018</v>
      </c>
      <c r="AC1280" s="245" t="s">
        <v>958</v>
      </c>
      <c r="AD1280" s="245" t="s">
        <v>1018</v>
      </c>
      <c r="AE1280" s="245" t="s">
        <v>931</v>
      </c>
      <c r="AF1280" s="245" t="s">
        <v>933</v>
      </c>
      <c r="AG1280" s="245" t="s">
        <v>931</v>
      </c>
      <c r="AH1280" s="245">
        <v>71</v>
      </c>
      <c r="AI1280" s="245">
        <v>61</v>
      </c>
      <c r="AJ1280" s="245" t="s">
        <v>1018</v>
      </c>
      <c r="AK1280" s="245" t="s">
        <v>931</v>
      </c>
      <c r="AL1280" s="245" t="s">
        <v>931</v>
      </c>
      <c r="AM1280" s="246" t="s">
        <v>931</v>
      </c>
      <c r="AN1280" s="235">
        <v>540</v>
      </c>
      <c r="AO1280" s="247" t="s">
        <v>2717</v>
      </c>
      <c r="AP1280" s="247" t="s">
        <v>965</v>
      </c>
      <c r="AQ1280" s="247" t="s">
        <v>958</v>
      </c>
      <c r="AR1280" s="247" t="s">
        <v>931</v>
      </c>
      <c r="AS1280" s="247" t="s">
        <v>958</v>
      </c>
      <c r="AT1280" s="247">
        <v>31</v>
      </c>
      <c r="AU1280" s="247" t="s">
        <v>934</v>
      </c>
      <c r="AV1280" s="247">
        <v>66</v>
      </c>
      <c r="AW1280" s="247">
        <v>56</v>
      </c>
      <c r="AX1280" s="247">
        <v>231</v>
      </c>
      <c r="AY1280" s="247">
        <v>40</v>
      </c>
      <c r="AZ1280" s="247" t="s">
        <v>952</v>
      </c>
      <c r="BA1280" s="248">
        <v>0.9</v>
      </c>
      <c r="BB1280" s="235"/>
      <c r="BC1280" s="247" t="s">
        <v>2716</v>
      </c>
      <c r="BD1280" s="247"/>
      <c r="BE1280" s="247"/>
      <c r="BF1280" s="247"/>
      <c r="BG1280" s="247"/>
      <c r="BH1280" s="247"/>
      <c r="BI1280" s="247"/>
      <c r="BJ1280" s="247"/>
      <c r="BK1280" s="247"/>
      <c r="BL1280" s="247"/>
      <c r="BM1280" s="247"/>
      <c r="BN1280" s="247"/>
      <c r="BO1280" s="247"/>
      <c r="BP1280" s="248"/>
    </row>
    <row r="1281" spans="1:68" ht="14.25" customHeight="1">
      <c r="A1281" s="233">
        <v>624</v>
      </c>
      <c r="B1281" s="234">
        <v>270</v>
      </c>
      <c r="C1281" s="244" t="s">
        <v>928</v>
      </c>
      <c r="D1281" s="244" t="s">
        <v>941</v>
      </c>
      <c r="E1281" s="244" t="s">
        <v>2718</v>
      </c>
      <c r="F1281" s="245">
        <v>-21.3</v>
      </c>
      <c r="G1281" s="245">
        <v>-17.3</v>
      </c>
      <c r="H1281" s="245">
        <v>-6.7</v>
      </c>
      <c r="I1281" s="245">
        <v>4.3</v>
      </c>
      <c r="J1281" s="245">
        <v>11.5</v>
      </c>
      <c r="K1281" s="245">
        <v>16.3</v>
      </c>
      <c r="L1281" s="245">
        <v>20.399999999999999</v>
      </c>
      <c r="M1281" s="245">
        <v>19.5</v>
      </c>
      <c r="N1281" s="245">
        <v>12.5</v>
      </c>
      <c r="O1281" s="245">
        <v>4.4000000000000004</v>
      </c>
      <c r="P1281" s="245">
        <v>-7.2</v>
      </c>
      <c r="Q1281" s="245">
        <v>-17.899999999999999</v>
      </c>
      <c r="R1281" s="246">
        <v>1.5</v>
      </c>
      <c r="S1281" s="233">
        <v>270</v>
      </c>
      <c r="T1281" s="247" t="s">
        <v>2719</v>
      </c>
      <c r="U1281" s="245">
        <v>-36</v>
      </c>
      <c r="V1281" s="245">
        <v>-35</v>
      </c>
      <c r="W1281" s="245">
        <v>-33</v>
      </c>
      <c r="X1281" s="245">
        <v>-32</v>
      </c>
      <c r="Y1281" s="245">
        <v>-26</v>
      </c>
      <c r="Z1281" s="245">
        <v>-47</v>
      </c>
      <c r="AA1281" s="245">
        <v>17.2</v>
      </c>
      <c r="AB1281" s="245">
        <v>158</v>
      </c>
      <c r="AC1281" s="245">
        <v>-12.9</v>
      </c>
      <c r="AD1281" s="245">
        <v>211</v>
      </c>
      <c r="AE1281" s="245">
        <v>-8.6</v>
      </c>
      <c r="AF1281" s="245">
        <v>227</v>
      </c>
      <c r="AG1281" s="245">
        <v>-7.3</v>
      </c>
      <c r="AH1281" s="245">
        <v>76</v>
      </c>
      <c r="AI1281" s="245">
        <v>65</v>
      </c>
      <c r="AJ1281" s="245">
        <v>129</v>
      </c>
      <c r="AK1281" s="245" t="s">
        <v>944</v>
      </c>
      <c r="AL1281" s="245" t="s">
        <v>931</v>
      </c>
      <c r="AM1281" s="246">
        <v>1.4</v>
      </c>
      <c r="AN1281" s="235">
        <v>270</v>
      </c>
      <c r="AO1281" s="247" t="s">
        <v>2720</v>
      </c>
      <c r="AP1281" s="247">
        <v>985</v>
      </c>
      <c r="AQ1281" s="247">
        <v>25.1</v>
      </c>
      <c r="AR1281" s="247">
        <v>29.1</v>
      </c>
      <c r="AS1281" s="247">
        <v>27.5</v>
      </c>
      <c r="AT1281" s="247">
        <v>38</v>
      </c>
      <c r="AU1281" s="247">
        <v>13.1</v>
      </c>
      <c r="AV1281" s="247">
        <v>79</v>
      </c>
      <c r="AW1281" s="247">
        <v>61</v>
      </c>
      <c r="AX1281" s="247">
        <v>593</v>
      </c>
      <c r="AY1281" s="247">
        <v>96</v>
      </c>
      <c r="AZ1281" s="247" t="s">
        <v>973</v>
      </c>
      <c r="BA1281" s="248" t="s">
        <v>934</v>
      </c>
      <c r="BB1281" s="235">
        <v>241</v>
      </c>
      <c r="BC1281" s="247" t="s">
        <v>2718</v>
      </c>
      <c r="BD1281" s="247">
        <v>1</v>
      </c>
      <c r="BE1281" s="247">
        <v>1.3</v>
      </c>
      <c r="BF1281" s="247">
        <v>2.7</v>
      </c>
      <c r="BG1281" s="247">
        <v>5</v>
      </c>
      <c r="BH1281" s="247">
        <v>8.3000000000000007</v>
      </c>
      <c r="BI1281" s="247">
        <v>13.7</v>
      </c>
      <c r="BJ1281" s="247">
        <v>18.8</v>
      </c>
      <c r="BK1281" s="247">
        <v>18.5</v>
      </c>
      <c r="BL1281" s="247">
        <v>11.5</v>
      </c>
      <c r="BM1281" s="247">
        <v>6.2</v>
      </c>
      <c r="BN1281" s="247">
        <v>3</v>
      </c>
      <c r="BO1281" s="247">
        <v>1.4</v>
      </c>
      <c r="BP1281" s="248">
        <v>7.6</v>
      </c>
    </row>
    <row r="1282" spans="1:68" ht="14.25" customHeight="1">
      <c r="A1282" s="233">
        <v>625</v>
      </c>
      <c r="B1282" s="234">
        <v>240</v>
      </c>
      <c r="C1282" s="244" t="s">
        <v>928</v>
      </c>
      <c r="D1282" s="244" t="s">
        <v>1119</v>
      </c>
      <c r="E1282" s="244" t="s">
        <v>2721</v>
      </c>
      <c r="F1282" s="245">
        <v>-19.5</v>
      </c>
      <c r="G1282" s="245">
        <v>-17.899999999999999</v>
      </c>
      <c r="H1282" s="245">
        <v>-11.3</v>
      </c>
      <c r="I1282" s="245">
        <v>0.3</v>
      </c>
      <c r="J1282" s="245">
        <v>10.1</v>
      </c>
      <c r="K1282" s="245">
        <v>16.399999999999999</v>
      </c>
      <c r="L1282" s="245">
        <v>18.5</v>
      </c>
      <c r="M1282" s="245">
        <v>15.5</v>
      </c>
      <c r="N1282" s="245">
        <v>9.6999999999999993</v>
      </c>
      <c r="O1282" s="245">
        <v>1.3</v>
      </c>
      <c r="P1282" s="245">
        <v>-9.3000000000000007</v>
      </c>
      <c r="Q1282" s="245">
        <v>-17</v>
      </c>
      <c r="R1282" s="246">
        <v>-0.2</v>
      </c>
      <c r="S1282" s="233">
        <v>240</v>
      </c>
      <c r="T1282" s="247" t="s">
        <v>2722</v>
      </c>
      <c r="U1282" s="245">
        <v>-44</v>
      </c>
      <c r="V1282" s="245">
        <v>-42</v>
      </c>
      <c r="W1282" s="245">
        <v>-42</v>
      </c>
      <c r="X1282" s="245">
        <v>-39</v>
      </c>
      <c r="Y1282" s="245">
        <v>-25</v>
      </c>
      <c r="Z1282" s="245">
        <v>-52</v>
      </c>
      <c r="AA1282" s="245">
        <v>9.1999999999999993</v>
      </c>
      <c r="AB1282" s="245">
        <v>177</v>
      </c>
      <c r="AC1282" s="245">
        <v>-12.7</v>
      </c>
      <c r="AD1282" s="245">
        <v>230</v>
      </c>
      <c r="AE1282" s="245">
        <v>-8.8000000000000007</v>
      </c>
      <c r="AF1282" s="245">
        <v>244</v>
      </c>
      <c r="AG1282" s="245">
        <v>-7.8</v>
      </c>
      <c r="AH1282" s="245">
        <v>80</v>
      </c>
      <c r="AI1282" s="245">
        <v>79</v>
      </c>
      <c r="AJ1282" s="245">
        <v>111</v>
      </c>
      <c r="AK1282" s="245" t="s">
        <v>971</v>
      </c>
      <c r="AL1282" s="245">
        <v>6.2</v>
      </c>
      <c r="AM1282" s="246" t="s">
        <v>931</v>
      </c>
      <c r="AN1282" s="235">
        <v>240</v>
      </c>
      <c r="AO1282" s="247" t="s">
        <v>2723</v>
      </c>
      <c r="AP1282" s="247">
        <v>990</v>
      </c>
      <c r="AQ1282" s="247">
        <v>22.3</v>
      </c>
      <c r="AR1282" s="247">
        <v>26.5</v>
      </c>
      <c r="AS1282" s="247">
        <v>24.7</v>
      </c>
      <c r="AT1282" s="247">
        <v>40</v>
      </c>
      <c r="AU1282" s="247">
        <v>12.4</v>
      </c>
      <c r="AV1282" s="247">
        <v>73</v>
      </c>
      <c r="AW1282" s="247">
        <v>56</v>
      </c>
      <c r="AX1282" s="247">
        <v>310</v>
      </c>
      <c r="AY1282" s="247">
        <v>56</v>
      </c>
      <c r="AZ1282" s="247" t="s">
        <v>978</v>
      </c>
      <c r="BA1282" s="248">
        <v>3.4</v>
      </c>
      <c r="BB1282" s="235">
        <v>212</v>
      </c>
      <c r="BC1282" s="247" t="s">
        <v>2721</v>
      </c>
      <c r="BD1282" s="247">
        <v>1.4</v>
      </c>
      <c r="BE1282" s="247">
        <v>1.5</v>
      </c>
      <c r="BF1282" s="247">
        <v>2.5</v>
      </c>
      <c r="BG1282" s="247">
        <v>4.9000000000000004</v>
      </c>
      <c r="BH1282" s="247">
        <v>7.4</v>
      </c>
      <c r="BI1282" s="247">
        <v>12</v>
      </c>
      <c r="BJ1282" s="247">
        <v>15.1</v>
      </c>
      <c r="BK1282" s="247">
        <v>13</v>
      </c>
      <c r="BL1282" s="247">
        <v>8.9</v>
      </c>
      <c r="BM1282" s="247">
        <v>5.3</v>
      </c>
      <c r="BN1282" s="247">
        <v>2.9</v>
      </c>
      <c r="BO1282" s="247">
        <v>1.7</v>
      </c>
      <c r="BP1282" s="248">
        <v>6.4</v>
      </c>
    </row>
    <row r="1283" spans="1:68" ht="14.25" customHeight="1">
      <c r="A1283" s="233">
        <v>626</v>
      </c>
      <c r="B1283" s="234">
        <v>445</v>
      </c>
      <c r="C1283" s="244" t="s">
        <v>928</v>
      </c>
      <c r="D1283" s="244" t="s">
        <v>969</v>
      </c>
      <c r="E1283" s="244" t="s">
        <v>2724</v>
      </c>
      <c r="F1283" s="245">
        <v>-36.700000000000003</v>
      </c>
      <c r="G1283" s="245">
        <v>-31.9</v>
      </c>
      <c r="H1283" s="245">
        <v>-20</v>
      </c>
      <c r="I1283" s="245">
        <v>-7</v>
      </c>
      <c r="J1283" s="245">
        <v>4</v>
      </c>
      <c r="K1283" s="245">
        <v>12.3</v>
      </c>
      <c r="L1283" s="245">
        <v>15.8</v>
      </c>
      <c r="M1283" s="245">
        <v>12.6</v>
      </c>
      <c r="N1283" s="245">
        <v>4.5</v>
      </c>
      <c r="O1283" s="245">
        <v>-7.6</v>
      </c>
      <c r="P1283" s="245">
        <v>-24.7</v>
      </c>
      <c r="Q1283" s="245">
        <v>-34.9</v>
      </c>
      <c r="R1283" s="246">
        <v>-9.5</v>
      </c>
      <c r="S1283" s="233">
        <v>445</v>
      </c>
      <c r="T1283" s="247" t="s">
        <v>2724</v>
      </c>
      <c r="U1283" s="245">
        <v>-55</v>
      </c>
      <c r="V1283" s="245">
        <v>-52</v>
      </c>
      <c r="W1283" s="245">
        <v>-51</v>
      </c>
      <c r="X1283" s="245">
        <v>-49</v>
      </c>
      <c r="Y1283" s="245">
        <v>-42</v>
      </c>
      <c r="Z1283" s="245">
        <v>-61</v>
      </c>
      <c r="AA1283" s="245">
        <v>10.7</v>
      </c>
      <c r="AB1283" s="245">
        <v>220</v>
      </c>
      <c r="AC1283" s="245">
        <v>-22</v>
      </c>
      <c r="AD1283" s="245">
        <v>270</v>
      </c>
      <c r="AE1283" s="245">
        <v>-17.100000000000001</v>
      </c>
      <c r="AF1283" s="245">
        <v>285</v>
      </c>
      <c r="AG1283" s="245">
        <v>-15.7</v>
      </c>
      <c r="AH1283" s="245">
        <v>78</v>
      </c>
      <c r="AI1283" s="245">
        <v>77</v>
      </c>
      <c r="AJ1283" s="245">
        <v>74</v>
      </c>
      <c r="AK1283" s="245" t="s">
        <v>944</v>
      </c>
      <c r="AL1283" s="245">
        <v>2.2999999999999998</v>
      </c>
      <c r="AM1283" s="246">
        <v>2.4</v>
      </c>
      <c r="AN1283" s="235">
        <v>445</v>
      </c>
      <c r="AO1283" s="247" t="s">
        <v>2725</v>
      </c>
      <c r="AP1283" s="247">
        <v>910</v>
      </c>
      <c r="AQ1283" s="247">
        <v>19</v>
      </c>
      <c r="AR1283" s="247">
        <v>23.4</v>
      </c>
      <c r="AS1283" s="247">
        <v>23.7</v>
      </c>
      <c r="AT1283" s="247">
        <v>35</v>
      </c>
      <c r="AU1283" s="247">
        <v>15.7</v>
      </c>
      <c r="AV1283" s="247">
        <v>70</v>
      </c>
      <c r="AW1283" s="247">
        <v>64</v>
      </c>
      <c r="AX1283" s="247">
        <v>471</v>
      </c>
      <c r="AY1283" s="247">
        <v>83</v>
      </c>
      <c r="AZ1283" s="247" t="s">
        <v>959</v>
      </c>
      <c r="BA1283" s="248">
        <v>0</v>
      </c>
      <c r="BB1283" s="235">
        <v>407</v>
      </c>
      <c r="BC1283" s="247" t="s">
        <v>2724</v>
      </c>
      <c r="BD1283" s="247">
        <v>0.3</v>
      </c>
      <c r="BE1283" s="247">
        <v>0.5</v>
      </c>
      <c r="BF1283" s="247">
        <v>1.1000000000000001</v>
      </c>
      <c r="BG1283" s="247">
        <v>2.6</v>
      </c>
      <c r="BH1283" s="247">
        <v>4.9000000000000004</v>
      </c>
      <c r="BI1283" s="247">
        <v>9.1</v>
      </c>
      <c r="BJ1283" s="247">
        <v>12.5</v>
      </c>
      <c r="BK1283" s="247">
        <v>10.9</v>
      </c>
      <c r="BL1283" s="247">
        <v>6.5</v>
      </c>
      <c r="BM1283" s="247">
        <v>2.9</v>
      </c>
      <c r="BN1283" s="247">
        <v>0.9</v>
      </c>
      <c r="BO1283" s="247">
        <v>0.4</v>
      </c>
      <c r="BP1283" s="248">
        <v>4.4000000000000004</v>
      </c>
    </row>
    <row r="1284" spans="1:68" ht="14.25" customHeight="1">
      <c r="A1284" s="233">
        <v>627</v>
      </c>
      <c r="B1284" s="234">
        <v>368</v>
      </c>
      <c r="C1284" s="244" t="s">
        <v>928</v>
      </c>
      <c r="D1284" s="244" t="s">
        <v>1081</v>
      </c>
      <c r="E1284" s="244" t="s">
        <v>2726</v>
      </c>
      <c r="F1284" s="245">
        <v>-23.7</v>
      </c>
      <c r="G1284" s="245">
        <v>-18.899999999999999</v>
      </c>
      <c r="H1284" s="245">
        <v>-11.6</v>
      </c>
      <c r="I1284" s="245">
        <v>-2.7</v>
      </c>
      <c r="J1284" s="245">
        <v>1.9</v>
      </c>
      <c r="K1284" s="245">
        <v>6.6</v>
      </c>
      <c r="L1284" s="245">
        <v>12</v>
      </c>
      <c r="M1284" s="245">
        <v>13.5</v>
      </c>
      <c r="N1284" s="245">
        <v>10</v>
      </c>
      <c r="O1284" s="245">
        <v>0.7</v>
      </c>
      <c r="P1284" s="245">
        <v>-12.9</v>
      </c>
      <c r="Q1284" s="245">
        <v>-21.3</v>
      </c>
      <c r="R1284" s="246">
        <v>-3.9</v>
      </c>
      <c r="S1284" s="233">
        <v>368</v>
      </c>
      <c r="T1284" s="247" t="s">
        <v>2727</v>
      </c>
      <c r="U1284" s="245">
        <v>-35</v>
      </c>
      <c r="V1284" s="245">
        <v>-34</v>
      </c>
      <c r="W1284" s="245">
        <v>-34</v>
      </c>
      <c r="X1284" s="245">
        <v>-32</v>
      </c>
      <c r="Y1284" s="245">
        <v>-29</v>
      </c>
      <c r="Z1284" s="245">
        <v>-43</v>
      </c>
      <c r="AA1284" s="245">
        <v>5.3</v>
      </c>
      <c r="AB1284" s="245">
        <v>198</v>
      </c>
      <c r="AC1284" s="245">
        <v>-13.8</v>
      </c>
      <c r="AD1284" s="245">
        <v>274</v>
      </c>
      <c r="AE1284" s="245">
        <v>-8.8000000000000007</v>
      </c>
      <c r="AF1284" s="245">
        <v>292</v>
      </c>
      <c r="AG1284" s="245">
        <v>-7.7</v>
      </c>
      <c r="AH1284" s="245">
        <v>73</v>
      </c>
      <c r="AI1284" s="245">
        <v>71</v>
      </c>
      <c r="AJ1284" s="245" t="s">
        <v>1018</v>
      </c>
      <c r="AK1284" s="245" t="s">
        <v>950</v>
      </c>
      <c r="AL1284" s="245">
        <v>10.3</v>
      </c>
      <c r="AM1284" s="246">
        <v>6.3</v>
      </c>
      <c r="AN1284" s="235">
        <v>368</v>
      </c>
      <c r="AO1284" s="247" t="s">
        <v>2728</v>
      </c>
      <c r="AP1284" s="247">
        <v>1010</v>
      </c>
      <c r="AQ1284" s="247">
        <v>15.9</v>
      </c>
      <c r="AR1284" s="247">
        <v>20.399999999999999</v>
      </c>
      <c r="AS1284" s="247">
        <v>18.3</v>
      </c>
      <c r="AT1284" s="247">
        <v>35</v>
      </c>
      <c r="AU1284" s="247">
        <v>8.8000000000000007</v>
      </c>
      <c r="AV1284" s="247">
        <v>88</v>
      </c>
      <c r="AW1284" s="247">
        <v>77</v>
      </c>
      <c r="AX1284" s="247">
        <v>635</v>
      </c>
      <c r="AY1284" s="247">
        <v>128</v>
      </c>
      <c r="AZ1284" s="247" t="s">
        <v>940</v>
      </c>
      <c r="BA1284" s="248">
        <v>0</v>
      </c>
      <c r="BB1284" s="235">
        <v>333</v>
      </c>
      <c r="BC1284" s="247" t="s">
        <v>2726</v>
      </c>
      <c r="BD1284" s="247">
        <v>0.8</v>
      </c>
      <c r="BE1284" s="247">
        <v>1.1000000000000001</v>
      </c>
      <c r="BF1284" s="247">
        <v>2</v>
      </c>
      <c r="BG1284" s="247">
        <v>3.7</v>
      </c>
      <c r="BH1284" s="247">
        <v>5.9</v>
      </c>
      <c r="BI1284" s="247">
        <v>8.6</v>
      </c>
      <c r="BJ1284" s="247">
        <v>12.5</v>
      </c>
      <c r="BK1284" s="247">
        <v>13.6</v>
      </c>
      <c r="BL1284" s="247">
        <v>9.9</v>
      </c>
      <c r="BM1284" s="247">
        <v>4.5999999999999996</v>
      </c>
      <c r="BN1284" s="247">
        <v>1.8</v>
      </c>
      <c r="BO1284" s="247">
        <v>0.9</v>
      </c>
      <c r="BP1284" s="248">
        <v>5.5</v>
      </c>
    </row>
    <row r="1285" spans="1:68" ht="14.25" customHeight="1">
      <c r="A1285" s="233">
        <v>628</v>
      </c>
      <c r="B1285" s="234">
        <v>446</v>
      </c>
      <c r="C1285" s="244" t="s">
        <v>928</v>
      </c>
      <c r="D1285" s="244" t="s">
        <v>969</v>
      </c>
      <c r="E1285" s="244" t="s">
        <v>2729</v>
      </c>
      <c r="F1285" s="245">
        <v>-44</v>
      </c>
      <c r="G1285" s="245">
        <v>-38.4</v>
      </c>
      <c r="H1285" s="245">
        <v>-24</v>
      </c>
      <c r="I1285" s="245">
        <v>-7.8</v>
      </c>
      <c r="J1285" s="245">
        <v>5.8</v>
      </c>
      <c r="K1285" s="245">
        <v>14.7</v>
      </c>
      <c r="L1285" s="245">
        <v>18.100000000000001</v>
      </c>
      <c r="M1285" s="245">
        <v>14.3</v>
      </c>
      <c r="N1285" s="245">
        <v>5.2</v>
      </c>
      <c r="O1285" s="245">
        <v>-9.4</v>
      </c>
      <c r="P1285" s="245">
        <v>-30.8</v>
      </c>
      <c r="Q1285" s="245">
        <v>-41.8</v>
      </c>
      <c r="R1285" s="246">
        <v>-11.5</v>
      </c>
      <c r="S1285" s="233">
        <v>446</v>
      </c>
      <c r="T1285" s="247" t="s">
        <v>2729</v>
      </c>
      <c r="U1285" s="245">
        <v>-61</v>
      </c>
      <c r="V1285" s="245">
        <v>-59</v>
      </c>
      <c r="W1285" s="245">
        <v>-59</v>
      </c>
      <c r="X1285" s="245">
        <v>-56</v>
      </c>
      <c r="Y1285" s="245">
        <v>-49</v>
      </c>
      <c r="Z1285" s="245">
        <v>-64</v>
      </c>
      <c r="AA1285" s="245">
        <v>9.1</v>
      </c>
      <c r="AB1285" s="245">
        <v>219</v>
      </c>
      <c r="AC1285" s="245">
        <v>-26.6</v>
      </c>
      <c r="AD1285" s="245">
        <v>239</v>
      </c>
      <c r="AE1285" s="245">
        <v>-21.8</v>
      </c>
      <c r="AF1285" s="245">
        <v>273</v>
      </c>
      <c r="AG1285" s="245">
        <v>-20.2</v>
      </c>
      <c r="AH1285" s="245">
        <v>73</v>
      </c>
      <c r="AI1285" s="245">
        <v>73</v>
      </c>
      <c r="AJ1285" s="245">
        <v>46</v>
      </c>
      <c r="AK1285" s="245" t="s">
        <v>982</v>
      </c>
      <c r="AL1285" s="245" t="s">
        <v>931</v>
      </c>
      <c r="AM1285" s="246">
        <v>1.4</v>
      </c>
      <c r="AN1285" s="235">
        <v>446</v>
      </c>
      <c r="AO1285" s="247" t="s">
        <v>2730</v>
      </c>
      <c r="AP1285" s="247">
        <v>985</v>
      </c>
      <c r="AQ1285" s="247">
        <v>22.5</v>
      </c>
      <c r="AR1285" s="247">
        <v>26.6</v>
      </c>
      <c r="AS1285" s="247">
        <v>24.9</v>
      </c>
      <c r="AT1285" s="247">
        <v>37</v>
      </c>
      <c r="AU1285" s="247">
        <v>14.5</v>
      </c>
      <c r="AV1285" s="247">
        <v>65</v>
      </c>
      <c r="AW1285" s="247">
        <v>46</v>
      </c>
      <c r="AX1285" s="247">
        <v>208</v>
      </c>
      <c r="AY1285" s="247">
        <v>48</v>
      </c>
      <c r="AZ1285" s="247" t="s">
        <v>952</v>
      </c>
      <c r="BA1285" s="248" t="s">
        <v>934</v>
      </c>
      <c r="BB1285" s="235">
        <v>408</v>
      </c>
      <c r="BC1285" s="247" t="s">
        <v>2729</v>
      </c>
      <c r="BD1285" s="247">
        <v>0.1</v>
      </c>
      <c r="BE1285" s="247">
        <v>0.2</v>
      </c>
      <c r="BF1285" s="247">
        <v>0.8</v>
      </c>
      <c r="BG1285" s="247">
        <v>2.4</v>
      </c>
      <c r="BH1285" s="247">
        <v>4.9000000000000004</v>
      </c>
      <c r="BI1285" s="247">
        <v>9.6999999999999993</v>
      </c>
      <c r="BJ1285" s="247">
        <v>12.8</v>
      </c>
      <c r="BK1285" s="247">
        <v>11.3</v>
      </c>
      <c r="BL1285" s="247">
        <v>6.6</v>
      </c>
      <c r="BM1285" s="247">
        <v>2.8</v>
      </c>
      <c r="BN1285" s="247">
        <v>0.6</v>
      </c>
      <c r="BO1285" s="247">
        <v>0.2</v>
      </c>
      <c r="BP1285" s="248">
        <v>4.4000000000000004</v>
      </c>
    </row>
    <row r="1286" spans="1:68" ht="14.25" customHeight="1">
      <c r="A1286" s="233">
        <v>629</v>
      </c>
      <c r="B1286" s="234">
        <v>162</v>
      </c>
      <c r="C1286" s="244" t="s">
        <v>928</v>
      </c>
      <c r="D1286" s="244" t="s">
        <v>1768</v>
      </c>
      <c r="E1286" s="244" t="s">
        <v>2731</v>
      </c>
      <c r="F1286" s="245">
        <v>-12.8</v>
      </c>
      <c r="G1286" s="245">
        <v>-11.6</v>
      </c>
      <c r="H1286" s="245">
        <v>-5.7</v>
      </c>
      <c r="I1286" s="245">
        <v>2.5</v>
      </c>
      <c r="J1286" s="245">
        <v>9.6999999999999993</v>
      </c>
      <c r="K1286" s="245">
        <v>14.8</v>
      </c>
      <c r="L1286" s="245">
        <v>17</v>
      </c>
      <c r="M1286" s="245">
        <v>15.1</v>
      </c>
      <c r="N1286" s="245">
        <v>9.1999999999999993</v>
      </c>
      <c r="O1286" s="245">
        <v>2.4</v>
      </c>
      <c r="P1286" s="245">
        <v>-3.6</v>
      </c>
      <c r="Q1286" s="245">
        <v>-9.8000000000000007</v>
      </c>
      <c r="R1286" s="246">
        <v>2.2999999999999998</v>
      </c>
      <c r="S1286" s="233">
        <v>162</v>
      </c>
      <c r="T1286" s="247" t="s">
        <v>2732</v>
      </c>
      <c r="U1286" s="245">
        <v>-41</v>
      </c>
      <c r="V1286" s="245">
        <v>-37</v>
      </c>
      <c r="W1286" s="245">
        <v>-36</v>
      </c>
      <c r="X1286" s="245">
        <v>-32</v>
      </c>
      <c r="Y1286" s="245">
        <v>-18</v>
      </c>
      <c r="Z1286" s="245">
        <v>-46</v>
      </c>
      <c r="AA1286" s="245">
        <v>6.9</v>
      </c>
      <c r="AB1286" s="245">
        <v>160</v>
      </c>
      <c r="AC1286" s="245">
        <v>-7.9</v>
      </c>
      <c r="AD1286" s="245">
        <v>230</v>
      </c>
      <c r="AE1286" s="245">
        <v>-4.3</v>
      </c>
      <c r="AF1286" s="245">
        <v>248</v>
      </c>
      <c r="AG1286" s="245">
        <v>-3.3</v>
      </c>
      <c r="AH1286" s="245">
        <v>85</v>
      </c>
      <c r="AI1286" s="245">
        <v>84</v>
      </c>
      <c r="AJ1286" s="245">
        <v>175</v>
      </c>
      <c r="AK1286" s="245" t="s">
        <v>963</v>
      </c>
      <c r="AL1286" s="245" t="s">
        <v>931</v>
      </c>
      <c r="AM1286" s="246">
        <v>3.9</v>
      </c>
      <c r="AN1286" s="235">
        <v>162</v>
      </c>
      <c r="AO1286" s="247" t="s">
        <v>2733</v>
      </c>
      <c r="AP1286" s="247">
        <v>990</v>
      </c>
      <c r="AQ1286" s="247">
        <v>20.100000000000001</v>
      </c>
      <c r="AR1286" s="247">
        <v>24.4</v>
      </c>
      <c r="AS1286" s="247">
        <v>22.5</v>
      </c>
      <c r="AT1286" s="247">
        <v>36</v>
      </c>
      <c r="AU1286" s="247">
        <v>10.6</v>
      </c>
      <c r="AV1286" s="247">
        <v>75</v>
      </c>
      <c r="AW1286" s="247">
        <v>60</v>
      </c>
      <c r="AX1286" s="247">
        <v>456</v>
      </c>
      <c r="AY1286" s="247">
        <v>86</v>
      </c>
      <c r="AZ1286" s="247" t="s">
        <v>959</v>
      </c>
      <c r="BA1286" s="248" t="s">
        <v>934</v>
      </c>
      <c r="BB1286" s="235">
        <v>142</v>
      </c>
      <c r="BC1286" s="247" t="s">
        <v>2731</v>
      </c>
      <c r="BD1286" s="247">
        <v>2.4</v>
      </c>
      <c r="BE1286" s="247">
        <v>2.4</v>
      </c>
      <c r="BF1286" s="247">
        <v>3.4</v>
      </c>
      <c r="BG1286" s="247">
        <v>5.3</v>
      </c>
      <c r="BH1286" s="247">
        <v>8.1</v>
      </c>
      <c r="BI1286" s="247">
        <v>12</v>
      </c>
      <c r="BJ1286" s="247">
        <v>14.6</v>
      </c>
      <c r="BK1286" s="247">
        <v>13.5</v>
      </c>
      <c r="BL1286" s="247">
        <v>9.8000000000000007</v>
      </c>
      <c r="BM1286" s="247">
        <v>6.4</v>
      </c>
      <c r="BN1286" s="247">
        <v>4.3</v>
      </c>
      <c r="BO1286" s="247">
        <v>3</v>
      </c>
      <c r="BP1286" s="248">
        <v>7.1</v>
      </c>
    </row>
    <row r="1287" spans="1:68" ht="14.25" customHeight="1">
      <c r="A1287" s="233">
        <v>630</v>
      </c>
      <c r="B1287" s="234">
        <v>581</v>
      </c>
      <c r="C1287" s="244" t="s">
        <v>1353</v>
      </c>
      <c r="D1287" s="244" t="s">
        <v>1822</v>
      </c>
      <c r="E1287" s="244" t="s">
        <v>2734</v>
      </c>
      <c r="F1287" s="245">
        <v>2.9</v>
      </c>
      <c r="G1287" s="245">
        <v>6</v>
      </c>
      <c r="H1287" s="245">
        <v>11.2</v>
      </c>
      <c r="I1287" s="245">
        <v>18.3</v>
      </c>
      <c r="J1287" s="245">
        <v>24.1</v>
      </c>
      <c r="K1287" s="245">
        <v>28.6</v>
      </c>
      <c r="L1287" s="245">
        <v>30.7</v>
      </c>
      <c r="M1287" s="245">
        <v>28.6</v>
      </c>
      <c r="N1287" s="245">
        <v>22.9</v>
      </c>
      <c r="O1287" s="245">
        <v>16.5</v>
      </c>
      <c r="P1287" s="245">
        <v>9.6999999999999993</v>
      </c>
      <c r="Q1287" s="245">
        <v>4.8</v>
      </c>
      <c r="R1287" s="246">
        <v>17</v>
      </c>
      <c r="S1287" s="251"/>
      <c r="T1287" s="247" t="s">
        <v>2735</v>
      </c>
      <c r="U1287" s="247"/>
      <c r="V1287" s="247"/>
      <c r="W1287" s="247"/>
      <c r="X1287" s="247"/>
      <c r="Y1287" s="247"/>
      <c r="Z1287" s="247"/>
      <c r="AA1287" s="247"/>
      <c r="AB1287" s="247"/>
      <c r="AC1287" s="247"/>
      <c r="AD1287" s="247"/>
      <c r="AE1287" s="247"/>
      <c r="AF1287" s="247"/>
      <c r="AG1287" s="247"/>
      <c r="AH1287" s="247"/>
      <c r="AI1287" s="247"/>
      <c r="AJ1287" s="247"/>
      <c r="AK1287" s="247"/>
      <c r="AL1287" s="247"/>
      <c r="AM1287" s="248"/>
      <c r="AN1287" s="235"/>
      <c r="AO1287" s="247" t="s">
        <v>2735</v>
      </c>
      <c r="AP1287" s="247"/>
      <c r="AQ1287" s="247"/>
      <c r="AR1287" s="247"/>
      <c r="AS1287" s="247"/>
      <c r="AT1287" s="247"/>
      <c r="AU1287" s="247"/>
      <c r="AV1287" s="247"/>
      <c r="AW1287" s="247"/>
      <c r="AX1287" s="247"/>
      <c r="AY1287" s="247"/>
      <c r="AZ1287" s="247"/>
      <c r="BA1287" s="248"/>
      <c r="BB1287" s="235"/>
      <c r="BC1287" s="247" t="s">
        <v>2734</v>
      </c>
      <c r="BD1287" s="247"/>
      <c r="BE1287" s="247"/>
      <c r="BF1287" s="247"/>
      <c r="BG1287" s="247"/>
      <c r="BH1287" s="247"/>
      <c r="BI1287" s="247"/>
      <c r="BJ1287" s="247"/>
      <c r="BK1287" s="247"/>
      <c r="BL1287" s="247"/>
      <c r="BM1287" s="247"/>
      <c r="BN1287" s="247"/>
      <c r="BO1287" s="247"/>
      <c r="BP1287" s="248"/>
    </row>
    <row r="1288" spans="1:68" ht="14.25" customHeight="1">
      <c r="A1288" s="233">
        <v>631</v>
      </c>
      <c r="B1288" s="234">
        <v>283</v>
      </c>
      <c r="C1288" s="244" t="s">
        <v>928</v>
      </c>
      <c r="D1288" s="244" t="s">
        <v>1290</v>
      </c>
      <c r="E1288" s="244" t="s">
        <v>2736</v>
      </c>
      <c r="F1288" s="245">
        <v>-16.100000000000001</v>
      </c>
      <c r="G1288" s="245">
        <v>-14.4</v>
      </c>
      <c r="H1288" s="245">
        <v>-7.4</v>
      </c>
      <c r="I1288" s="245">
        <v>2.5</v>
      </c>
      <c r="J1288" s="245">
        <v>9.6</v>
      </c>
      <c r="K1288" s="245">
        <v>14.9</v>
      </c>
      <c r="L1288" s="245">
        <v>17</v>
      </c>
      <c r="M1288" s="245">
        <v>14.5</v>
      </c>
      <c r="N1288" s="245">
        <v>8.6999999999999993</v>
      </c>
      <c r="O1288" s="245">
        <v>0.9</v>
      </c>
      <c r="P1288" s="245">
        <v>-7</v>
      </c>
      <c r="Q1288" s="245">
        <v>-13.6</v>
      </c>
      <c r="R1288" s="246">
        <v>0.8</v>
      </c>
      <c r="S1288" s="233">
        <v>283</v>
      </c>
      <c r="T1288" s="247" t="s">
        <v>2737</v>
      </c>
      <c r="U1288" s="245">
        <v>-42</v>
      </c>
      <c r="V1288" s="245">
        <v>-40</v>
      </c>
      <c r="W1288" s="245">
        <v>-38</v>
      </c>
      <c r="X1288" s="245">
        <v>-35</v>
      </c>
      <c r="Y1288" s="245">
        <v>-20</v>
      </c>
      <c r="Z1288" s="245">
        <v>-51</v>
      </c>
      <c r="AA1288" s="245">
        <v>8</v>
      </c>
      <c r="AB1288" s="245">
        <v>171</v>
      </c>
      <c r="AC1288" s="245">
        <v>-10.4</v>
      </c>
      <c r="AD1288" s="245">
        <v>235</v>
      </c>
      <c r="AE1288" s="245">
        <v>-6.4</v>
      </c>
      <c r="AF1288" s="245">
        <v>254</v>
      </c>
      <c r="AG1288" s="245">
        <v>-5.2</v>
      </c>
      <c r="AH1288" s="245">
        <v>82</v>
      </c>
      <c r="AI1288" s="245">
        <v>78</v>
      </c>
      <c r="AJ1288" s="245">
        <v>205</v>
      </c>
      <c r="AK1288" s="245" t="s">
        <v>971</v>
      </c>
      <c r="AL1288" s="245" t="s">
        <v>931</v>
      </c>
      <c r="AM1288" s="246">
        <v>3.2</v>
      </c>
      <c r="AN1288" s="235">
        <v>301</v>
      </c>
      <c r="AO1288" s="247" t="s">
        <v>2738</v>
      </c>
      <c r="AP1288" s="247">
        <v>1000</v>
      </c>
      <c r="AQ1288" s="247">
        <v>22</v>
      </c>
      <c r="AR1288" s="247">
        <v>26</v>
      </c>
      <c r="AS1288" s="247">
        <v>23.3</v>
      </c>
      <c r="AT1288" s="247">
        <v>37</v>
      </c>
      <c r="AU1288" s="247">
        <v>12.5</v>
      </c>
      <c r="AV1288" s="247">
        <v>74</v>
      </c>
      <c r="AW1288" s="247">
        <v>59</v>
      </c>
      <c r="AX1288" s="247">
        <v>450</v>
      </c>
      <c r="AY1288" s="247">
        <v>66</v>
      </c>
      <c r="AZ1288" s="247" t="s">
        <v>978</v>
      </c>
      <c r="BA1288" s="248" t="s">
        <v>934</v>
      </c>
      <c r="BB1288" s="235">
        <v>272</v>
      </c>
      <c r="BC1288" s="247" t="s">
        <v>2736</v>
      </c>
      <c r="BD1288" s="247">
        <v>1.8</v>
      </c>
      <c r="BE1288" s="247">
        <v>1.9</v>
      </c>
      <c r="BF1288" s="247">
        <v>3.1</v>
      </c>
      <c r="BG1288" s="247">
        <v>5.2</v>
      </c>
      <c r="BH1288" s="247">
        <v>7.5</v>
      </c>
      <c r="BI1288" s="247">
        <v>11.4</v>
      </c>
      <c r="BJ1288" s="247">
        <v>14</v>
      </c>
      <c r="BK1288" s="247">
        <v>12.6</v>
      </c>
      <c r="BL1288" s="247">
        <v>9</v>
      </c>
      <c r="BM1288" s="247">
        <v>3.6</v>
      </c>
      <c r="BN1288" s="247">
        <v>3.6</v>
      </c>
      <c r="BO1288" s="247">
        <v>2.2999999999999998</v>
      </c>
      <c r="BP1288" s="248">
        <v>6.5</v>
      </c>
    </row>
    <row r="1289" spans="1:68" ht="14.25" customHeight="1">
      <c r="A1289" s="233">
        <v>632</v>
      </c>
      <c r="B1289" s="234">
        <v>163</v>
      </c>
      <c r="C1289" s="244" t="s">
        <v>928</v>
      </c>
      <c r="D1289" s="244" t="s">
        <v>1768</v>
      </c>
      <c r="E1289" s="244" t="s">
        <v>2739</v>
      </c>
      <c r="F1289" s="245">
        <v>-13</v>
      </c>
      <c r="G1289" s="245">
        <v>-12.1</v>
      </c>
      <c r="H1289" s="245">
        <v>-6</v>
      </c>
      <c r="I1289" s="245">
        <v>2.9</v>
      </c>
      <c r="J1289" s="245">
        <v>10.199999999999999</v>
      </c>
      <c r="K1289" s="245">
        <v>15.1</v>
      </c>
      <c r="L1289" s="245">
        <v>17.399999999999999</v>
      </c>
      <c r="M1289" s="245">
        <v>15.1</v>
      </c>
      <c r="N1289" s="245">
        <v>9.3000000000000007</v>
      </c>
      <c r="O1289" s="245">
        <v>2.2999999999999998</v>
      </c>
      <c r="P1289" s="245">
        <v>-4.7</v>
      </c>
      <c r="Q1289" s="245">
        <v>-10.6</v>
      </c>
      <c r="R1289" s="246">
        <v>2.2000000000000002</v>
      </c>
      <c r="S1289" s="233">
        <v>163</v>
      </c>
      <c r="T1289" s="247" t="s">
        <v>2740</v>
      </c>
      <c r="U1289" s="245">
        <v>-40</v>
      </c>
      <c r="V1289" s="245">
        <v>-37</v>
      </c>
      <c r="W1289" s="245">
        <v>-36</v>
      </c>
      <c r="X1289" s="245">
        <v>-32</v>
      </c>
      <c r="Y1289" s="245">
        <v>-18</v>
      </c>
      <c r="Z1289" s="245">
        <v>-44</v>
      </c>
      <c r="AA1289" s="245">
        <v>6.9</v>
      </c>
      <c r="AB1289" s="245">
        <v>162</v>
      </c>
      <c r="AC1289" s="245">
        <v>-8.3000000000000007</v>
      </c>
      <c r="AD1289" s="245">
        <v>228</v>
      </c>
      <c r="AE1289" s="245">
        <v>-4.7</v>
      </c>
      <c r="AF1289" s="245">
        <v>245</v>
      </c>
      <c r="AG1289" s="245">
        <v>-3.7</v>
      </c>
      <c r="AH1289" s="245">
        <v>86</v>
      </c>
      <c r="AI1289" s="245">
        <v>85</v>
      </c>
      <c r="AJ1289" s="245">
        <v>273</v>
      </c>
      <c r="AK1289" s="245" t="s">
        <v>963</v>
      </c>
      <c r="AL1289" s="245">
        <v>4.5</v>
      </c>
      <c r="AM1289" s="246">
        <v>4.2</v>
      </c>
      <c r="AN1289" s="235">
        <v>163</v>
      </c>
      <c r="AO1289" s="247" t="s">
        <v>2741</v>
      </c>
      <c r="AP1289" s="247">
        <v>995</v>
      </c>
      <c r="AQ1289" s="247">
        <v>20.7</v>
      </c>
      <c r="AR1289" s="247">
        <v>24.9</v>
      </c>
      <c r="AS1289" s="247">
        <v>23.1</v>
      </c>
      <c r="AT1289" s="247">
        <v>36</v>
      </c>
      <c r="AU1289" s="247">
        <v>11.6</v>
      </c>
      <c r="AV1289" s="247">
        <v>74</v>
      </c>
      <c r="AW1289" s="247">
        <v>59</v>
      </c>
      <c r="AX1289" s="247">
        <v>471</v>
      </c>
      <c r="AY1289" s="247" t="s">
        <v>965</v>
      </c>
      <c r="AZ1289" s="247" t="s">
        <v>1005</v>
      </c>
      <c r="BA1289" s="248">
        <v>3.6</v>
      </c>
      <c r="BB1289" s="235"/>
      <c r="BC1289" s="247" t="s">
        <v>2739</v>
      </c>
      <c r="BD1289" s="247"/>
      <c r="BE1289" s="247"/>
      <c r="BF1289" s="247"/>
      <c r="BG1289" s="247"/>
      <c r="BH1289" s="247"/>
      <c r="BI1289" s="247"/>
      <c r="BJ1289" s="247"/>
      <c r="BK1289" s="247"/>
      <c r="BL1289" s="247"/>
      <c r="BM1289" s="247"/>
      <c r="BN1289" s="247"/>
      <c r="BO1289" s="247"/>
      <c r="BP1289" s="248"/>
    </row>
    <row r="1290" spans="1:68" ht="14.25" customHeight="1">
      <c r="A1290" s="233">
        <v>633</v>
      </c>
      <c r="B1290" s="234">
        <v>447</v>
      </c>
      <c r="C1290" s="244" t="s">
        <v>928</v>
      </c>
      <c r="D1290" s="244" t="s">
        <v>969</v>
      </c>
      <c r="E1290" s="244" t="s">
        <v>2742</v>
      </c>
      <c r="F1290" s="245">
        <v>-41.9</v>
      </c>
      <c r="G1290" s="245">
        <v>-37.6</v>
      </c>
      <c r="H1290" s="245">
        <v>-25.6</v>
      </c>
      <c r="I1290" s="245">
        <v>-12.5</v>
      </c>
      <c r="J1290" s="245">
        <v>0.5</v>
      </c>
      <c r="K1290" s="245">
        <v>11.4</v>
      </c>
      <c r="L1290" s="245">
        <v>14.5</v>
      </c>
      <c r="M1290" s="245">
        <v>10.199999999999999</v>
      </c>
      <c r="N1290" s="245">
        <v>2.4</v>
      </c>
      <c r="O1290" s="245">
        <v>-10.8</v>
      </c>
      <c r="P1290" s="245">
        <v>-31</v>
      </c>
      <c r="Q1290" s="245">
        <v>-38.9</v>
      </c>
      <c r="R1290" s="246">
        <v>-13.3</v>
      </c>
      <c r="S1290" s="233">
        <v>447</v>
      </c>
      <c r="T1290" s="247" t="s">
        <v>2742</v>
      </c>
      <c r="U1290" s="245">
        <v>-61</v>
      </c>
      <c r="V1290" s="245">
        <v>-59</v>
      </c>
      <c r="W1290" s="245">
        <v>-58</v>
      </c>
      <c r="X1290" s="245">
        <v>-57</v>
      </c>
      <c r="Y1290" s="245">
        <v>-47</v>
      </c>
      <c r="Z1290" s="245">
        <v>-64</v>
      </c>
      <c r="AA1290" s="245">
        <v>10.4</v>
      </c>
      <c r="AB1290" s="245">
        <v>236</v>
      </c>
      <c r="AC1290" s="245">
        <v>-25.3</v>
      </c>
      <c r="AD1290" s="245">
        <v>285</v>
      </c>
      <c r="AE1290" s="245">
        <v>-20.100000000000001</v>
      </c>
      <c r="AF1290" s="245">
        <v>299</v>
      </c>
      <c r="AG1290" s="245">
        <v>-18.8</v>
      </c>
      <c r="AH1290" s="245">
        <v>73</v>
      </c>
      <c r="AI1290" s="245">
        <v>73</v>
      </c>
      <c r="AJ1290" s="245">
        <v>57</v>
      </c>
      <c r="AK1290" s="245" t="s">
        <v>982</v>
      </c>
      <c r="AL1290" s="245">
        <v>2.2999999999999998</v>
      </c>
      <c r="AM1290" s="246">
        <v>1.3</v>
      </c>
      <c r="AN1290" s="235">
        <v>447</v>
      </c>
      <c r="AO1290" s="247" t="s">
        <v>2743</v>
      </c>
      <c r="AP1290" s="247">
        <v>980</v>
      </c>
      <c r="AQ1290" s="247">
        <v>19.5</v>
      </c>
      <c r="AR1290" s="247">
        <v>23.8</v>
      </c>
      <c r="AS1290" s="247">
        <v>21.9</v>
      </c>
      <c r="AT1290" s="247">
        <v>35</v>
      </c>
      <c r="AU1290" s="247">
        <v>15.9</v>
      </c>
      <c r="AV1290" s="247">
        <v>66</v>
      </c>
      <c r="AW1290" s="247">
        <v>52</v>
      </c>
      <c r="AX1290" s="247">
        <v>244</v>
      </c>
      <c r="AY1290" s="247">
        <v>70</v>
      </c>
      <c r="AZ1290" s="247" t="s">
        <v>1005</v>
      </c>
      <c r="BA1290" s="248">
        <v>0</v>
      </c>
      <c r="BB1290" s="235">
        <v>409</v>
      </c>
      <c r="BC1290" s="247" t="s">
        <v>2742</v>
      </c>
      <c r="BD1290" s="247">
        <v>0.2</v>
      </c>
      <c r="BE1290" s="247">
        <v>0.3</v>
      </c>
      <c r="BF1290" s="247">
        <v>0.8</v>
      </c>
      <c r="BG1290" s="247">
        <v>1.8</v>
      </c>
      <c r="BH1290" s="247">
        <v>4.0999999999999996</v>
      </c>
      <c r="BI1290" s="247">
        <v>7.9</v>
      </c>
      <c r="BJ1290" s="247">
        <v>10.7</v>
      </c>
      <c r="BK1290" s="247">
        <v>9</v>
      </c>
      <c r="BL1290" s="247">
        <v>5.7</v>
      </c>
      <c r="BM1290" s="247">
        <v>2.7</v>
      </c>
      <c r="BN1290" s="247">
        <v>0.6</v>
      </c>
      <c r="BO1290" s="247">
        <v>0.3</v>
      </c>
      <c r="BP1290" s="248">
        <v>3.7</v>
      </c>
    </row>
    <row r="1291" spans="1:68" ht="14.25" customHeight="1">
      <c r="A1291" s="233">
        <v>634</v>
      </c>
      <c r="B1291" s="234">
        <v>511</v>
      </c>
      <c r="C1291" s="244" t="s">
        <v>960</v>
      </c>
      <c r="D1291" s="244" t="s">
        <v>1523</v>
      </c>
      <c r="E1291" s="244" t="s">
        <v>2744</v>
      </c>
      <c r="F1291" s="245">
        <v>-17</v>
      </c>
      <c r="G1291" s="245">
        <v>-16.5</v>
      </c>
      <c r="H1291" s="245">
        <v>-8.9</v>
      </c>
      <c r="I1291" s="245">
        <v>3.8</v>
      </c>
      <c r="J1291" s="245">
        <v>12.7</v>
      </c>
      <c r="K1291" s="245">
        <v>18.100000000000001</v>
      </c>
      <c r="L1291" s="245">
        <v>20.100000000000001</v>
      </c>
      <c r="M1291" s="245">
        <v>17.5</v>
      </c>
      <c r="N1291" s="245">
        <v>11.9</v>
      </c>
      <c r="O1291" s="245">
        <v>3.8</v>
      </c>
      <c r="P1291" s="245">
        <v>-7.1</v>
      </c>
      <c r="Q1291" s="245">
        <v>-14.3</v>
      </c>
      <c r="R1291" s="246">
        <v>2</v>
      </c>
      <c r="S1291" s="233">
        <v>511</v>
      </c>
      <c r="T1291" s="247" t="s">
        <v>2744</v>
      </c>
      <c r="U1291" s="245">
        <v>-46</v>
      </c>
      <c r="V1291" s="245">
        <v>-44</v>
      </c>
      <c r="W1291" s="245">
        <v>-42</v>
      </c>
      <c r="X1291" s="245">
        <v>-38</v>
      </c>
      <c r="Y1291" s="245" t="s">
        <v>956</v>
      </c>
      <c r="Z1291" s="245" t="s">
        <v>931</v>
      </c>
      <c r="AA1291" s="245">
        <v>-11.4</v>
      </c>
      <c r="AB1291" s="245">
        <v>160</v>
      </c>
      <c r="AC1291" s="245">
        <v>-12</v>
      </c>
      <c r="AD1291" s="245">
        <v>209</v>
      </c>
      <c r="AE1291" s="245">
        <v>-8.1999999999999993</v>
      </c>
      <c r="AF1291" s="245">
        <v>223</v>
      </c>
      <c r="AG1291" s="245">
        <v>-7.1</v>
      </c>
      <c r="AH1291" s="245">
        <v>78</v>
      </c>
      <c r="AI1291" s="245" t="s">
        <v>956</v>
      </c>
      <c r="AJ1291" s="245">
        <v>152</v>
      </c>
      <c r="AK1291" s="245" t="s">
        <v>963</v>
      </c>
      <c r="AL1291" s="245">
        <v>6</v>
      </c>
      <c r="AM1291" s="246">
        <v>2.9</v>
      </c>
      <c r="AN1291" s="235">
        <v>511</v>
      </c>
      <c r="AO1291" s="247" t="s">
        <v>2745</v>
      </c>
      <c r="AP1291" s="247" t="s">
        <v>965</v>
      </c>
      <c r="AQ1291" s="247" t="s">
        <v>958</v>
      </c>
      <c r="AR1291" s="247" t="s">
        <v>931</v>
      </c>
      <c r="AS1291" s="247">
        <v>27.3</v>
      </c>
      <c r="AT1291" s="247">
        <v>42</v>
      </c>
      <c r="AU1291" s="247">
        <v>14.1</v>
      </c>
      <c r="AV1291" s="247">
        <v>64</v>
      </c>
      <c r="AW1291" s="247" t="s">
        <v>931</v>
      </c>
      <c r="AX1291" s="247">
        <v>308</v>
      </c>
      <c r="AY1291" s="247" t="s">
        <v>965</v>
      </c>
      <c r="AZ1291" s="247" t="s">
        <v>1005</v>
      </c>
      <c r="BA1291" s="248">
        <v>4.0999999999999996</v>
      </c>
      <c r="BB1291" s="235"/>
      <c r="BC1291" s="247" t="s">
        <v>2744</v>
      </c>
      <c r="BD1291" s="247"/>
      <c r="BE1291" s="247"/>
      <c r="BF1291" s="247"/>
      <c r="BG1291" s="247"/>
      <c r="BH1291" s="247"/>
      <c r="BI1291" s="247"/>
      <c r="BJ1291" s="247"/>
      <c r="BK1291" s="247"/>
      <c r="BL1291" s="247"/>
      <c r="BM1291" s="247"/>
      <c r="BN1291" s="247"/>
      <c r="BO1291" s="247"/>
      <c r="BP1291" s="248"/>
    </row>
    <row r="1292" spans="1:68" ht="14.25" customHeight="1">
      <c r="A1292" s="233">
        <v>635</v>
      </c>
      <c r="B1292" s="234">
        <v>600</v>
      </c>
      <c r="C1292" s="244" t="s">
        <v>1015</v>
      </c>
      <c r="D1292" s="244" t="s">
        <v>1424</v>
      </c>
      <c r="E1292" s="244" t="s">
        <v>2746</v>
      </c>
      <c r="F1292" s="245">
        <v>4</v>
      </c>
      <c r="G1292" s="245">
        <v>6.9</v>
      </c>
      <c r="H1292" s="245">
        <v>11.6</v>
      </c>
      <c r="I1292" s="245">
        <v>18.7</v>
      </c>
      <c r="J1292" s="245">
        <v>24.9</v>
      </c>
      <c r="K1292" s="245">
        <v>29.9</v>
      </c>
      <c r="L1292" s="245">
        <v>31.8</v>
      </c>
      <c r="M1292" s="245">
        <v>29.7</v>
      </c>
      <c r="N1292" s="245">
        <v>24.5</v>
      </c>
      <c r="O1292" s="245">
        <v>18</v>
      </c>
      <c r="P1292" s="245">
        <v>11.2</v>
      </c>
      <c r="Q1292" s="245">
        <v>6.3</v>
      </c>
      <c r="R1292" s="246">
        <v>18.100000000000001</v>
      </c>
      <c r="S1292" s="233">
        <v>589</v>
      </c>
      <c r="T1292" s="247" t="s">
        <v>2746</v>
      </c>
      <c r="U1292" s="245">
        <v>-13</v>
      </c>
      <c r="V1292" s="245">
        <v>-10</v>
      </c>
      <c r="W1292" s="245">
        <v>-10</v>
      </c>
      <c r="X1292" s="245" t="s">
        <v>965</v>
      </c>
      <c r="Y1292" s="245">
        <v>1</v>
      </c>
      <c r="Z1292" s="245" t="s">
        <v>931</v>
      </c>
      <c r="AA1292" s="245">
        <v>8.4</v>
      </c>
      <c r="AB1292" s="245">
        <v>0</v>
      </c>
      <c r="AC1292" s="245" t="s">
        <v>830</v>
      </c>
      <c r="AD1292" s="245">
        <v>80</v>
      </c>
      <c r="AE1292" s="245">
        <v>5.4</v>
      </c>
      <c r="AF1292" s="245" t="s">
        <v>933</v>
      </c>
      <c r="AG1292" s="245" t="s">
        <v>931</v>
      </c>
      <c r="AH1292" s="245" t="s">
        <v>956</v>
      </c>
      <c r="AI1292" s="245" t="s">
        <v>956</v>
      </c>
      <c r="AJ1292" s="245" t="s">
        <v>1018</v>
      </c>
      <c r="AK1292" s="245" t="s">
        <v>931</v>
      </c>
      <c r="AL1292" s="245">
        <v>3.6</v>
      </c>
      <c r="AM1292" s="246" t="s">
        <v>931</v>
      </c>
      <c r="AN1292" s="235">
        <v>590</v>
      </c>
      <c r="AO1292" s="247" t="s">
        <v>2747</v>
      </c>
      <c r="AP1292" s="247">
        <v>970</v>
      </c>
      <c r="AQ1292" s="247">
        <v>36.200000000000003</v>
      </c>
      <c r="AR1292" s="247">
        <v>40</v>
      </c>
      <c r="AS1292" s="247">
        <v>39.1</v>
      </c>
      <c r="AT1292" s="247">
        <v>47</v>
      </c>
      <c r="AU1292" s="247">
        <v>14.9</v>
      </c>
      <c r="AV1292" s="247" t="s">
        <v>958</v>
      </c>
      <c r="AW1292" s="247" t="s">
        <v>931</v>
      </c>
      <c r="AX1292" s="247" t="s">
        <v>931</v>
      </c>
      <c r="AY1292" s="247" t="s">
        <v>965</v>
      </c>
      <c r="AZ1292" s="247" t="s">
        <v>933</v>
      </c>
      <c r="BA1292" s="248">
        <v>3.1</v>
      </c>
      <c r="BB1292" s="235"/>
      <c r="BC1292" s="247" t="s">
        <v>2746</v>
      </c>
      <c r="BD1292" s="247"/>
      <c r="BE1292" s="247"/>
      <c r="BF1292" s="247"/>
      <c r="BG1292" s="247"/>
      <c r="BH1292" s="247"/>
      <c r="BI1292" s="247"/>
      <c r="BJ1292" s="247"/>
      <c r="BK1292" s="247"/>
      <c r="BL1292" s="247"/>
      <c r="BM1292" s="247"/>
      <c r="BN1292" s="247"/>
      <c r="BO1292" s="247"/>
      <c r="BP1292" s="248"/>
    </row>
    <row r="1293" spans="1:68" ht="14.25" customHeight="1">
      <c r="A1293" s="233">
        <v>636</v>
      </c>
      <c r="B1293" s="234">
        <v>36</v>
      </c>
      <c r="C1293" s="244" t="s">
        <v>928</v>
      </c>
      <c r="D1293" s="244" t="s">
        <v>1046</v>
      </c>
      <c r="E1293" s="244" t="s">
        <v>2748</v>
      </c>
      <c r="F1293" s="245">
        <v>-27.7</v>
      </c>
      <c r="G1293" s="245">
        <v>-21.9</v>
      </c>
      <c r="H1293" s="245">
        <v>-12.2</v>
      </c>
      <c r="I1293" s="245">
        <v>0.6</v>
      </c>
      <c r="J1293" s="245">
        <v>9.1</v>
      </c>
      <c r="K1293" s="245">
        <v>16.100000000000001</v>
      </c>
      <c r="L1293" s="245">
        <v>19.7</v>
      </c>
      <c r="M1293" s="245">
        <v>16.899999999999999</v>
      </c>
      <c r="N1293" s="245">
        <v>10</v>
      </c>
      <c r="O1293" s="245">
        <v>-0.8</v>
      </c>
      <c r="P1293" s="245">
        <v>-15.7</v>
      </c>
      <c r="Q1293" s="245">
        <v>-25.3</v>
      </c>
      <c r="R1293" s="246">
        <v>-2.6</v>
      </c>
      <c r="S1293" s="233">
        <v>36</v>
      </c>
      <c r="T1293" s="247" t="s">
        <v>2749</v>
      </c>
      <c r="U1293" s="245">
        <v>-43</v>
      </c>
      <c r="V1293" s="245">
        <v>-41</v>
      </c>
      <c r="W1293" s="245">
        <v>-40</v>
      </c>
      <c r="X1293" s="245">
        <v>-38</v>
      </c>
      <c r="Y1293" s="245">
        <v>-33</v>
      </c>
      <c r="Z1293" s="245">
        <v>-52</v>
      </c>
      <c r="AA1293" s="245">
        <v>13.4</v>
      </c>
      <c r="AB1293" s="245">
        <v>182</v>
      </c>
      <c r="AC1293" s="245">
        <v>-17</v>
      </c>
      <c r="AD1293" s="245">
        <v>233</v>
      </c>
      <c r="AE1293" s="245">
        <v>-12.5</v>
      </c>
      <c r="AF1293" s="245">
        <v>246</v>
      </c>
      <c r="AG1293" s="245">
        <v>-11.3</v>
      </c>
      <c r="AH1293" s="245" t="s">
        <v>956</v>
      </c>
      <c r="AI1293" s="245">
        <v>70</v>
      </c>
      <c r="AJ1293" s="245">
        <v>60</v>
      </c>
      <c r="AK1293" s="245" t="s">
        <v>944</v>
      </c>
      <c r="AL1293" s="245">
        <v>2.2999999999999998</v>
      </c>
      <c r="AM1293" s="246">
        <v>2.4</v>
      </c>
      <c r="AN1293" s="235">
        <v>36</v>
      </c>
      <c r="AO1293" s="247" t="s">
        <v>2750</v>
      </c>
      <c r="AP1293" s="247">
        <v>975</v>
      </c>
      <c r="AQ1293" s="247">
        <v>23.5</v>
      </c>
      <c r="AR1293" s="247">
        <v>27.6</v>
      </c>
      <c r="AS1293" s="247">
        <v>25.9</v>
      </c>
      <c r="AT1293" s="247">
        <v>40</v>
      </c>
      <c r="AU1293" s="247">
        <v>12.9</v>
      </c>
      <c r="AV1293" s="247" t="s">
        <v>958</v>
      </c>
      <c r="AW1293" s="247">
        <v>58</v>
      </c>
      <c r="AX1293" s="247">
        <v>496</v>
      </c>
      <c r="AY1293" s="247">
        <v>78</v>
      </c>
      <c r="AZ1293" s="247" t="s">
        <v>959</v>
      </c>
      <c r="BA1293" s="248">
        <v>0</v>
      </c>
      <c r="BB1293" s="235"/>
      <c r="BC1293" s="247" t="s">
        <v>2748</v>
      </c>
      <c r="BD1293" s="247"/>
      <c r="BE1293" s="247"/>
      <c r="BF1293" s="247"/>
      <c r="BG1293" s="247"/>
      <c r="BH1293" s="247"/>
      <c r="BI1293" s="247"/>
      <c r="BJ1293" s="247"/>
      <c r="BK1293" s="247"/>
      <c r="BL1293" s="247"/>
      <c r="BM1293" s="247"/>
      <c r="BN1293" s="247"/>
      <c r="BO1293" s="247"/>
      <c r="BP1293" s="248"/>
    </row>
    <row r="1294" spans="1:68" ht="14.25" customHeight="1">
      <c r="A1294" s="233">
        <v>637</v>
      </c>
      <c r="B1294" s="234">
        <v>371</v>
      </c>
      <c r="C1294" s="244" t="s">
        <v>928</v>
      </c>
      <c r="D1294" s="244" t="s">
        <v>929</v>
      </c>
      <c r="E1294" s="244" t="s">
        <v>2751</v>
      </c>
      <c r="F1294" s="245">
        <v>-18.5</v>
      </c>
      <c r="G1294" s="245">
        <v>-17.2</v>
      </c>
      <c r="H1294" s="245">
        <v>-8.9</v>
      </c>
      <c r="I1294" s="245">
        <v>1.3</v>
      </c>
      <c r="J1294" s="245">
        <v>8.9</v>
      </c>
      <c r="K1294" s="245">
        <v>15.6</v>
      </c>
      <c r="L1294" s="245">
        <v>17.7</v>
      </c>
      <c r="M1294" s="245">
        <v>14.9</v>
      </c>
      <c r="N1294" s="245">
        <v>8.8000000000000007</v>
      </c>
      <c r="O1294" s="245">
        <v>1.2</v>
      </c>
      <c r="P1294" s="245">
        <v>-9.1</v>
      </c>
      <c r="Q1294" s="245">
        <v>-16.399999999999999</v>
      </c>
      <c r="R1294" s="246">
        <v>-0.1</v>
      </c>
      <c r="S1294" s="233">
        <v>371</v>
      </c>
      <c r="T1294" s="247" t="s">
        <v>2752</v>
      </c>
      <c r="U1294" s="245">
        <v>-43</v>
      </c>
      <c r="V1294" s="245">
        <v>-40</v>
      </c>
      <c r="W1294" s="245">
        <v>-39</v>
      </c>
      <c r="X1294" s="245">
        <v>-38</v>
      </c>
      <c r="Y1294" s="245">
        <v>-24</v>
      </c>
      <c r="Z1294" s="245">
        <v>-49</v>
      </c>
      <c r="AA1294" s="245">
        <v>10.5</v>
      </c>
      <c r="AB1294" s="245">
        <v>174</v>
      </c>
      <c r="AC1294" s="245">
        <v>-11.9</v>
      </c>
      <c r="AD1294" s="245">
        <v>236</v>
      </c>
      <c r="AE1294" s="245">
        <v>-7.7</v>
      </c>
      <c r="AF1294" s="245">
        <v>254</v>
      </c>
      <c r="AG1294" s="245">
        <v>-6.6</v>
      </c>
      <c r="AH1294" s="245">
        <v>73</v>
      </c>
      <c r="AI1294" s="245">
        <v>70</v>
      </c>
      <c r="AJ1294" s="245">
        <v>36</v>
      </c>
      <c r="AK1294" s="245" t="s">
        <v>971</v>
      </c>
      <c r="AL1294" s="245">
        <v>4.0999999999999996</v>
      </c>
      <c r="AM1294" s="246">
        <v>2.5</v>
      </c>
      <c r="AN1294" s="235">
        <v>371</v>
      </c>
      <c r="AO1294" s="247" t="s">
        <v>2753</v>
      </c>
      <c r="AP1294" s="247">
        <v>955</v>
      </c>
      <c r="AQ1294" s="247">
        <v>21.7</v>
      </c>
      <c r="AR1294" s="247">
        <v>25.9</v>
      </c>
      <c r="AS1294" s="247">
        <v>24.1</v>
      </c>
      <c r="AT1294" s="247">
        <v>36</v>
      </c>
      <c r="AU1294" s="247">
        <v>12.5</v>
      </c>
      <c r="AV1294" s="247">
        <v>68</v>
      </c>
      <c r="AW1294" s="247">
        <v>55</v>
      </c>
      <c r="AX1294" s="247">
        <v>291</v>
      </c>
      <c r="AY1294" s="247">
        <v>147</v>
      </c>
      <c r="AZ1294" s="247" t="s">
        <v>978</v>
      </c>
      <c r="BA1294" s="248">
        <v>0</v>
      </c>
      <c r="BB1294" s="235">
        <v>336</v>
      </c>
      <c r="BC1294" s="247" t="s">
        <v>2751</v>
      </c>
      <c r="BD1294" s="247">
        <v>1.3</v>
      </c>
      <c r="BE1294" s="247">
        <v>1.4</v>
      </c>
      <c r="BF1294" s="247">
        <v>2.4</v>
      </c>
      <c r="BG1294" s="247">
        <v>4.0999999999999996</v>
      </c>
      <c r="BH1294" s="247">
        <v>6.2</v>
      </c>
      <c r="BI1294" s="247">
        <v>10.7</v>
      </c>
      <c r="BJ1294" s="247">
        <v>13.7</v>
      </c>
      <c r="BK1294" s="247">
        <v>11.8</v>
      </c>
      <c r="BL1294" s="247">
        <v>7.8</v>
      </c>
      <c r="BM1294" s="247">
        <v>4.4000000000000004</v>
      </c>
      <c r="BN1294" s="247">
        <v>2.4</v>
      </c>
      <c r="BO1294" s="247">
        <v>1.5</v>
      </c>
      <c r="BP1294" s="248">
        <v>5.6</v>
      </c>
    </row>
    <row r="1295" spans="1:68" ht="14.25" customHeight="1">
      <c r="A1295" s="233">
        <v>638</v>
      </c>
      <c r="B1295" s="234">
        <v>490</v>
      </c>
      <c r="C1295" s="244" t="s">
        <v>1068</v>
      </c>
      <c r="D1295" s="244" t="s">
        <v>1068</v>
      </c>
      <c r="E1295" s="244" t="s">
        <v>2754</v>
      </c>
      <c r="F1295" s="245">
        <v>-1.8</v>
      </c>
      <c r="G1295" s="245">
        <v>-0.4</v>
      </c>
      <c r="H1295" s="245">
        <v>4.0999999999999996</v>
      </c>
      <c r="I1295" s="245">
        <v>10.3</v>
      </c>
      <c r="J1295" s="245">
        <v>15.3</v>
      </c>
      <c r="K1295" s="245">
        <v>19.399999999999999</v>
      </c>
      <c r="L1295" s="245">
        <v>22.9</v>
      </c>
      <c r="M1295" s="245">
        <v>22.1</v>
      </c>
      <c r="N1295" s="245">
        <v>17.8</v>
      </c>
      <c r="O1295" s="245">
        <v>11.1</v>
      </c>
      <c r="P1295" s="245">
        <v>5.7</v>
      </c>
      <c r="Q1295" s="245">
        <v>0.8</v>
      </c>
      <c r="R1295" s="246">
        <v>10.6</v>
      </c>
      <c r="S1295" s="233">
        <v>490</v>
      </c>
      <c r="T1295" s="247" t="s">
        <v>2755</v>
      </c>
      <c r="U1295" s="245">
        <v>-21</v>
      </c>
      <c r="V1295" s="245">
        <v>-18</v>
      </c>
      <c r="W1295" s="245">
        <v>-17</v>
      </c>
      <c r="X1295" s="245">
        <v>-14</v>
      </c>
      <c r="Y1295" s="245">
        <v>-5</v>
      </c>
      <c r="Z1295" s="245">
        <v>-32</v>
      </c>
      <c r="AA1295" s="245">
        <v>12.4</v>
      </c>
      <c r="AB1295" s="245">
        <v>54</v>
      </c>
      <c r="AC1295" s="245">
        <v>-1.2</v>
      </c>
      <c r="AD1295" s="245">
        <v>153</v>
      </c>
      <c r="AE1295" s="245">
        <v>1.8</v>
      </c>
      <c r="AF1295" s="245">
        <v>174</v>
      </c>
      <c r="AG1295" s="245">
        <v>2.6</v>
      </c>
      <c r="AH1295" s="245" t="s">
        <v>956</v>
      </c>
      <c r="AI1295" s="245">
        <v>63</v>
      </c>
      <c r="AJ1295" s="245">
        <v>160</v>
      </c>
      <c r="AK1295" s="245" t="s">
        <v>944</v>
      </c>
      <c r="AL1295" s="245" t="s">
        <v>931</v>
      </c>
      <c r="AM1295" s="246">
        <v>3</v>
      </c>
      <c r="AN1295" s="235">
        <v>490</v>
      </c>
      <c r="AO1295" s="247" t="s">
        <v>2756</v>
      </c>
      <c r="AP1295" s="247">
        <v>950</v>
      </c>
      <c r="AQ1295" s="247">
        <v>26</v>
      </c>
      <c r="AR1295" s="247">
        <v>32</v>
      </c>
      <c r="AS1295" s="247">
        <v>30.3</v>
      </c>
      <c r="AT1295" s="247">
        <v>39</v>
      </c>
      <c r="AU1295" s="247">
        <v>15</v>
      </c>
      <c r="AV1295" s="247">
        <v>66</v>
      </c>
      <c r="AW1295" s="247">
        <v>46</v>
      </c>
      <c r="AX1295" s="247" t="s">
        <v>931</v>
      </c>
      <c r="AY1295" s="247">
        <v>134</v>
      </c>
      <c r="AZ1295" s="247" t="s">
        <v>1038</v>
      </c>
      <c r="BA1295" s="248">
        <v>1</v>
      </c>
      <c r="BB1295" s="235"/>
      <c r="BC1295" s="247" t="s">
        <v>2755</v>
      </c>
      <c r="BD1295" s="247"/>
      <c r="BE1295" s="247"/>
      <c r="BF1295" s="247"/>
      <c r="BG1295" s="247"/>
      <c r="BH1295" s="247"/>
      <c r="BI1295" s="247"/>
      <c r="BJ1295" s="247"/>
      <c r="BK1295" s="247"/>
      <c r="BL1295" s="247"/>
      <c r="BM1295" s="247"/>
      <c r="BN1295" s="247"/>
      <c r="BO1295" s="247"/>
      <c r="BP1295" s="248"/>
    </row>
    <row r="1296" spans="1:68" ht="14.25" customHeight="1">
      <c r="A1296" s="233">
        <v>639</v>
      </c>
      <c r="B1296" s="234">
        <v>448</v>
      </c>
      <c r="C1296" s="244" t="s">
        <v>928</v>
      </c>
      <c r="D1296" s="244" t="s">
        <v>969</v>
      </c>
      <c r="E1296" s="244" t="s">
        <v>2757</v>
      </c>
      <c r="F1296" s="245">
        <v>-37.700000000000003</v>
      </c>
      <c r="G1296" s="245">
        <v>-34.200000000000003</v>
      </c>
      <c r="H1296" s="245">
        <v>-23.8</v>
      </c>
      <c r="I1296" s="245">
        <v>-11.8</v>
      </c>
      <c r="J1296" s="245">
        <v>0</v>
      </c>
      <c r="K1296" s="245">
        <v>10.9</v>
      </c>
      <c r="L1296" s="245">
        <v>15.1</v>
      </c>
      <c r="M1296" s="245">
        <v>10.9</v>
      </c>
      <c r="N1296" s="245">
        <v>2.8</v>
      </c>
      <c r="O1296" s="245">
        <v>-10.5</v>
      </c>
      <c r="P1296" s="245">
        <v>-28.4</v>
      </c>
      <c r="Q1296" s="245">
        <v>-35.5</v>
      </c>
      <c r="R1296" s="246">
        <v>-11.9</v>
      </c>
      <c r="S1296" s="233">
        <v>448</v>
      </c>
      <c r="T1296" s="247" t="s">
        <v>2757</v>
      </c>
      <c r="U1296" s="245">
        <v>-56</v>
      </c>
      <c r="V1296" s="245">
        <v>-54</v>
      </c>
      <c r="W1296" s="245">
        <v>-54</v>
      </c>
      <c r="X1296" s="245">
        <v>-52</v>
      </c>
      <c r="Y1296" s="245">
        <v>-43</v>
      </c>
      <c r="Z1296" s="245">
        <v>-59</v>
      </c>
      <c r="AA1296" s="245">
        <v>9.6</v>
      </c>
      <c r="AB1296" s="245">
        <v>236</v>
      </c>
      <c r="AC1296" s="245">
        <v>-23.1</v>
      </c>
      <c r="AD1296" s="245">
        <v>284</v>
      </c>
      <c r="AE1296" s="245">
        <v>-18.5</v>
      </c>
      <c r="AF1296" s="245">
        <v>298</v>
      </c>
      <c r="AG1296" s="245">
        <v>-17.3</v>
      </c>
      <c r="AH1296" s="245">
        <v>75</v>
      </c>
      <c r="AI1296" s="245">
        <v>75</v>
      </c>
      <c r="AJ1296" s="245">
        <v>38</v>
      </c>
      <c r="AK1296" s="245" t="s">
        <v>963</v>
      </c>
      <c r="AL1296" s="245" t="s">
        <v>931</v>
      </c>
      <c r="AM1296" s="246">
        <v>2.6</v>
      </c>
      <c r="AN1296" s="235">
        <v>448</v>
      </c>
      <c r="AO1296" s="247" t="s">
        <v>2758</v>
      </c>
      <c r="AP1296" s="247">
        <v>975</v>
      </c>
      <c r="AQ1296" s="247">
        <v>18.399999999999999</v>
      </c>
      <c r="AR1296" s="247">
        <v>22.8</v>
      </c>
      <c r="AS1296" s="247">
        <v>20.8</v>
      </c>
      <c r="AT1296" s="247">
        <v>33</v>
      </c>
      <c r="AU1296" s="247">
        <v>11.7</v>
      </c>
      <c r="AV1296" s="247">
        <v>66</v>
      </c>
      <c r="AW1296" s="247">
        <v>54</v>
      </c>
      <c r="AX1296" s="247">
        <v>211</v>
      </c>
      <c r="AY1296" s="247">
        <v>52</v>
      </c>
      <c r="AZ1296" s="247" t="s">
        <v>1005</v>
      </c>
      <c r="BA1296" s="248" t="s">
        <v>934</v>
      </c>
      <c r="BB1296" s="235">
        <v>410</v>
      </c>
      <c r="BC1296" s="247" t="s">
        <v>2757</v>
      </c>
      <c r="BD1296" s="247">
        <v>0.2</v>
      </c>
      <c r="BE1296" s="247">
        <v>0.3</v>
      </c>
      <c r="BF1296" s="247">
        <v>0.9</v>
      </c>
      <c r="BG1296" s="247">
        <v>1.9</v>
      </c>
      <c r="BH1296" s="247">
        <v>4.2</v>
      </c>
      <c r="BI1296" s="247">
        <v>8.1999999999999993</v>
      </c>
      <c r="BJ1296" s="247">
        <v>11.3</v>
      </c>
      <c r="BK1296" s="247">
        <v>9.5</v>
      </c>
      <c r="BL1296" s="247">
        <v>5.8</v>
      </c>
      <c r="BM1296" s="247">
        <v>2.7</v>
      </c>
      <c r="BN1296" s="247">
        <v>0.7</v>
      </c>
      <c r="BO1296" s="247">
        <v>0.4</v>
      </c>
      <c r="BP1296" s="248">
        <v>3.8</v>
      </c>
    </row>
    <row r="1297" spans="1:68" ht="14.25" customHeight="1">
      <c r="A1297" s="233">
        <v>640</v>
      </c>
      <c r="B1297" s="234">
        <v>37</v>
      </c>
      <c r="C1297" s="244" t="s">
        <v>928</v>
      </c>
      <c r="D1297" s="244" t="s">
        <v>1046</v>
      </c>
      <c r="E1297" s="244" t="s">
        <v>2759</v>
      </c>
      <c r="F1297" s="245">
        <v>-33.1</v>
      </c>
      <c r="G1297" s="245">
        <v>-24.8</v>
      </c>
      <c r="H1297" s="245">
        <v>-14.9</v>
      </c>
      <c r="I1297" s="245">
        <v>-3.2</v>
      </c>
      <c r="J1297" s="245">
        <v>6</v>
      </c>
      <c r="K1297" s="245">
        <v>13</v>
      </c>
      <c r="L1297" s="245">
        <v>16.8</v>
      </c>
      <c r="M1297" s="245">
        <v>14.5</v>
      </c>
      <c r="N1297" s="245">
        <v>7.7</v>
      </c>
      <c r="O1297" s="245">
        <v>-3.5</v>
      </c>
      <c r="P1297" s="245">
        <v>-19.3</v>
      </c>
      <c r="Q1297" s="245">
        <v>-30.5</v>
      </c>
      <c r="R1297" s="246">
        <v>-5.9</v>
      </c>
      <c r="S1297" s="233">
        <v>37</v>
      </c>
      <c r="T1297" s="247" t="s">
        <v>2760</v>
      </c>
      <c r="U1297" s="245">
        <v>-47</v>
      </c>
      <c r="V1297" s="245">
        <v>-45</v>
      </c>
      <c r="W1297" s="245">
        <v>-45</v>
      </c>
      <c r="X1297" s="245">
        <v>-44</v>
      </c>
      <c r="Y1297" s="245">
        <v>-38</v>
      </c>
      <c r="Z1297" s="245">
        <v>-52</v>
      </c>
      <c r="AA1297" s="245">
        <v>11.4</v>
      </c>
      <c r="AB1297" s="245">
        <v>202</v>
      </c>
      <c r="AC1297" s="245">
        <v>-19.100000000000001</v>
      </c>
      <c r="AD1297" s="245">
        <v>253</v>
      </c>
      <c r="AE1297" s="245">
        <v>-14.4</v>
      </c>
      <c r="AF1297" s="245">
        <v>270</v>
      </c>
      <c r="AG1297" s="245">
        <v>-12.8</v>
      </c>
      <c r="AH1297" s="245">
        <v>74</v>
      </c>
      <c r="AI1297" s="245">
        <v>66</v>
      </c>
      <c r="AJ1297" s="245">
        <v>73</v>
      </c>
      <c r="AK1297" s="245" t="s">
        <v>982</v>
      </c>
      <c r="AL1297" s="245">
        <v>2.2000000000000002</v>
      </c>
      <c r="AM1297" s="246">
        <v>1.2</v>
      </c>
      <c r="AN1297" s="235">
        <v>37</v>
      </c>
      <c r="AO1297" s="247" t="s">
        <v>2761</v>
      </c>
      <c r="AP1297" s="247">
        <v>950</v>
      </c>
      <c r="AQ1297" s="247">
        <v>22.1</v>
      </c>
      <c r="AR1297" s="247">
        <v>26.3</v>
      </c>
      <c r="AS1297" s="247">
        <v>24.5</v>
      </c>
      <c r="AT1297" s="247">
        <v>40</v>
      </c>
      <c r="AU1297" s="247">
        <v>14.2</v>
      </c>
      <c r="AV1297" s="247">
        <v>78</v>
      </c>
      <c r="AW1297" s="247">
        <v>58</v>
      </c>
      <c r="AX1297" s="247">
        <v>655</v>
      </c>
      <c r="AY1297" s="247">
        <v>96</v>
      </c>
      <c r="AZ1297" s="247" t="s">
        <v>1038</v>
      </c>
      <c r="BA1297" s="248">
        <v>0</v>
      </c>
      <c r="BB1297" s="235">
        <v>23</v>
      </c>
      <c r="BC1297" s="247" t="s">
        <v>2759</v>
      </c>
      <c r="BD1297" s="247">
        <v>0.4</v>
      </c>
      <c r="BE1297" s="247">
        <v>0.6</v>
      </c>
      <c r="BF1297" s="247">
        <v>1.5</v>
      </c>
      <c r="BG1297" s="247">
        <v>3.2</v>
      </c>
      <c r="BH1297" s="247">
        <v>5.7</v>
      </c>
      <c r="BI1297" s="247">
        <v>10.6</v>
      </c>
      <c r="BJ1297" s="247">
        <v>14.9</v>
      </c>
      <c r="BK1297" s="247">
        <v>14</v>
      </c>
      <c r="BL1297" s="247">
        <v>8.6999999999999993</v>
      </c>
      <c r="BM1297" s="247">
        <v>3.9</v>
      </c>
      <c r="BN1297" s="247">
        <v>1.4</v>
      </c>
      <c r="BO1297" s="247">
        <v>0.5</v>
      </c>
      <c r="BP1297" s="248">
        <v>5.4</v>
      </c>
    </row>
    <row r="1298" spans="1:68" ht="14.25" customHeight="1">
      <c r="A1298" s="233">
        <v>641</v>
      </c>
      <c r="B1298" s="234">
        <v>110</v>
      </c>
      <c r="C1298" s="244" t="s">
        <v>928</v>
      </c>
      <c r="D1298" s="244" t="s">
        <v>2762</v>
      </c>
      <c r="E1298" s="244" t="s">
        <v>2763</v>
      </c>
      <c r="F1298" s="245">
        <v>-6.8</v>
      </c>
      <c r="G1298" s="245">
        <v>-6.2</v>
      </c>
      <c r="H1298" s="245">
        <v>-0.3</v>
      </c>
      <c r="I1298" s="245">
        <v>9.5</v>
      </c>
      <c r="J1298" s="245">
        <v>16.899999999999999</v>
      </c>
      <c r="K1298" s="245">
        <v>21.5</v>
      </c>
      <c r="L1298" s="245">
        <v>24.4</v>
      </c>
      <c r="M1298" s="245">
        <v>23.2</v>
      </c>
      <c r="N1298" s="245">
        <v>16.8</v>
      </c>
      <c r="O1298" s="245">
        <v>8.9</v>
      </c>
      <c r="P1298" s="245">
        <v>2.1</v>
      </c>
      <c r="Q1298" s="245">
        <v>-2.9</v>
      </c>
      <c r="R1298" s="246">
        <v>8.9</v>
      </c>
      <c r="S1298" s="233">
        <v>110</v>
      </c>
      <c r="T1298" s="247" t="s">
        <v>2764</v>
      </c>
      <c r="U1298" s="245">
        <v>-30</v>
      </c>
      <c r="V1298" s="245">
        <v>-27</v>
      </c>
      <c r="W1298" s="245">
        <v>-25</v>
      </c>
      <c r="X1298" s="245">
        <v>-23</v>
      </c>
      <c r="Y1298" s="245">
        <v>-12</v>
      </c>
      <c r="Z1298" s="245">
        <v>-34</v>
      </c>
      <c r="AA1298" s="245">
        <v>5.9</v>
      </c>
      <c r="AB1298" s="245">
        <v>109</v>
      </c>
      <c r="AC1298" s="245">
        <v>-4.2</v>
      </c>
      <c r="AD1298" s="245">
        <v>173</v>
      </c>
      <c r="AE1298" s="245">
        <v>-1.2</v>
      </c>
      <c r="AF1298" s="245">
        <v>188</v>
      </c>
      <c r="AG1298" s="245">
        <v>-0.4</v>
      </c>
      <c r="AH1298" s="245">
        <v>90</v>
      </c>
      <c r="AI1298" s="245">
        <v>90</v>
      </c>
      <c r="AJ1298" s="245">
        <v>132</v>
      </c>
      <c r="AK1298" s="245" t="s">
        <v>982</v>
      </c>
      <c r="AL1298" s="245">
        <v>7.6</v>
      </c>
      <c r="AM1298" s="246">
        <v>6.5</v>
      </c>
      <c r="AN1298" s="235">
        <v>110</v>
      </c>
      <c r="AO1298" s="247" t="s">
        <v>2765</v>
      </c>
      <c r="AP1298" s="247">
        <v>995</v>
      </c>
      <c r="AQ1298" s="247">
        <v>28.5</v>
      </c>
      <c r="AR1298" s="247">
        <v>32</v>
      </c>
      <c r="AS1298" s="247">
        <v>31</v>
      </c>
      <c r="AT1298" s="247">
        <v>43</v>
      </c>
      <c r="AU1298" s="247">
        <v>13</v>
      </c>
      <c r="AV1298" s="247">
        <v>48</v>
      </c>
      <c r="AW1298" s="247">
        <v>34</v>
      </c>
      <c r="AX1298" s="247">
        <v>229</v>
      </c>
      <c r="AY1298" s="247">
        <v>71</v>
      </c>
      <c r="AZ1298" s="247" t="s">
        <v>952</v>
      </c>
      <c r="BA1298" s="248">
        <v>0</v>
      </c>
      <c r="BB1298" s="235">
        <v>94</v>
      </c>
      <c r="BC1298" s="247" t="s">
        <v>2763</v>
      </c>
      <c r="BD1298" s="247">
        <v>3.8</v>
      </c>
      <c r="BE1298" s="247">
        <v>4</v>
      </c>
      <c r="BF1298" s="247">
        <v>5.2</v>
      </c>
      <c r="BG1298" s="247">
        <v>7.7</v>
      </c>
      <c r="BH1298" s="247">
        <v>10.4</v>
      </c>
      <c r="BI1298" s="247">
        <v>12.7</v>
      </c>
      <c r="BJ1298" s="247">
        <v>13.7</v>
      </c>
      <c r="BK1298" s="247">
        <v>13.3</v>
      </c>
      <c r="BL1298" s="247">
        <v>10.7</v>
      </c>
      <c r="BM1298" s="247">
        <v>8.3000000000000007</v>
      </c>
      <c r="BN1298" s="247">
        <v>6.6</v>
      </c>
      <c r="BO1298" s="247">
        <v>4.9000000000000004</v>
      </c>
      <c r="BP1298" s="248">
        <v>8.4</v>
      </c>
    </row>
    <row r="1299" spans="1:68" ht="14.25" customHeight="1">
      <c r="A1299" s="233">
        <v>642</v>
      </c>
      <c r="B1299" s="234">
        <v>71</v>
      </c>
      <c r="C1299" s="244" t="s">
        <v>928</v>
      </c>
      <c r="D1299" s="244" t="s">
        <v>1316</v>
      </c>
      <c r="E1299" s="244" t="s">
        <v>2766</v>
      </c>
      <c r="F1299" s="245">
        <v>-10.199999999999999</v>
      </c>
      <c r="G1299" s="245">
        <v>-10.1</v>
      </c>
      <c r="H1299" s="245">
        <v>-3</v>
      </c>
      <c r="I1299" s="245">
        <v>9.1</v>
      </c>
      <c r="J1299" s="245">
        <v>17.3</v>
      </c>
      <c r="K1299" s="245">
        <v>22.2</v>
      </c>
      <c r="L1299" s="245">
        <v>24.6</v>
      </c>
      <c r="M1299" s="245">
        <v>23.1</v>
      </c>
      <c r="N1299" s="245">
        <v>16.100000000000001</v>
      </c>
      <c r="O1299" s="245">
        <v>7.4</v>
      </c>
      <c r="P1299" s="245">
        <v>-0.1</v>
      </c>
      <c r="Q1299" s="245">
        <v>-6.7</v>
      </c>
      <c r="R1299" s="246">
        <v>7.5</v>
      </c>
      <c r="S1299" s="233">
        <v>71</v>
      </c>
      <c r="T1299" s="247" t="s">
        <v>2767</v>
      </c>
      <c r="U1299" s="245">
        <v>-32</v>
      </c>
      <c r="V1299" s="245">
        <v>-31</v>
      </c>
      <c r="W1299" s="245">
        <v>-29</v>
      </c>
      <c r="X1299" s="245">
        <v>-26</v>
      </c>
      <c r="Y1299" s="245">
        <v>-15</v>
      </c>
      <c r="Z1299" s="245">
        <v>-36</v>
      </c>
      <c r="AA1299" s="245">
        <v>7.4</v>
      </c>
      <c r="AB1299" s="245">
        <v>128</v>
      </c>
      <c r="AC1299" s="245">
        <v>-6.7</v>
      </c>
      <c r="AD1299" s="245">
        <v>181</v>
      </c>
      <c r="AE1299" s="245">
        <v>-3.6</v>
      </c>
      <c r="AF1299" s="245">
        <v>194</v>
      </c>
      <c r="AG1299" s="245">
        <v>-2.8</v>
      </c>
      <c r="AH1299" s="245">
        <v>83</v>
      </c>
      <c r="AI1299" s="245">
        <v>82</v>
      </c>
      <c r="AJ1299" s="245">
        <v>127</v>
      </c>
      <c r="AK1299" s="245" t="s">
        <v>982</v>
      </c>
      <c r="AL1299" s="245">
        <v>4.5999999999999996</v>
      </c>
      <c r="AM1299" s="246">
        <v>4.5999999999999996</v>
      </c>
      <c r="AN1299" s="235">
        <v>71</v>
      </c>
      <c r="AO1299" s="247" t="s">
        <v>2768</v>
      </c>
      <c r="AP1299" s="247">
        <v>1010</v>
      </c>
      <c r="AQ1299" s="247">
        <v>28.9</v>
      </c>
      <c r="AR1299" s="247">
        <v>32.5</v>
      </c>
      <c r="AS1299" s="247">
        <v>31.3</v>
      </c>
      <c r="AT1299" s="247">
        <v>45</v>
      </c>
      <c r="AU1299" s="247">
        <v>13.3</v>
      </c>
      <c r="AV1299" s="247">
        <v>47</v>
      </c>
      <c r="AW1299" s="247">
        <v>33</v>
      </c>
      <c r="AX1299" s="247">
        <v>190</v>
      </c>
      <c r="AY1299" s="247">
        <v>99</v>
      </c>
      <c r="AZ1299" s="247" t="s">
        <v>940</v>
      </c>
      <c r="BA1299" s="248">
        <v>0</v>
      </c>
      <c r="BB1299" s="235">
        <v>56</v>
      </c>
      <c r="BC1299" s="247" t="s">
        <v>2766</v>
      </c>
      <c r="BD1299" s="247">
        <v>2.7</v>
      </c>
      <c r="BE1299" s="247">
        <v>3</v>
      </c>
      <c r="BF1299" s="247">
        <v>4.4000000000000004</v>
      </c>
      <c r="BG1299" s="247">
        <v>7.3</v>
      </c>
      <c r="BH1299" s="247">
        <v>9.6999999999999993</v>
      </c>
      <c r="BI1299" s="247">
        <v>12.3</v>
      </c>
      <c r="BJ1299" s="247">
        <v>13.8</v>
      </c>
      <c r="BK1299" s="247">
        <v>12.8</v>
      </c>
      <c r="BL1299" s="247">
        <v>9.6999999999999993</v>
      </c>
      <c r="BM1299" s="247" t="s">
        <v>2769</v>
      </c>
      <c r="BN1299" s="247">
        <v>5.2</v>
      </c>
      <c r="BO1299" s="247">
        <v>3.8</v>
      </c>
      <c r="BP1299" s="248">
        <v>7.6</v>
      </c>
    </row>
    <row r="1300" spans="1:68" ht="14.25" customHeight="1">
      <c r="A1300" s="233">
        <v>643</v>
      </c>
      <c r="B1300" s="234">
        <v>369</v>
      </c>
      <c r="C1300" s="244" t="s">
        <v>928</v>
      </c>
      <c r="D1300" s="244" t="s">
        <v>1081</v>
      </c>
      <c r="E1300" s="244" t="s">
        <v>2770</v>
      </c>
      <c r="F1300" s="245">
        <v>-20.2</v>
      </c>
      <c r="G1300" s="245">
        <v>-17.3</v>
      </c>
      <c r="H1300" s="245">
        <v>-11.3</v>
      </c>
      <c r="I1300" s="245">
        <v>-4</v>
      </c>
      <c r="J1300" s="245">
        <v>1.4</v>
      </c>
      <c r="K1300" s="245">
        <v>6.1</v>
      </c>
      <c r="L1300" s="245">
        <v>11.5</v>
      </c>
      <c r="M1300" s="245">
        <v>13.3</v>
      </c>
      <c r="N1300" s="245">
        <v>8.9</v>
      </c>
      <c r="O1300" s="245">
        <v>-0.5</v>
      </c>
      <c r="P1300" s="245">
        <v>-11.4</v>
      </c>
      <c r="Q1300" s="245">
        <v>-17.5</v>
      </c>
      <c r="R1300" s="246">
        <v>-3.4</v>
      </c>
      <c r="S1300" s="233">
        <v>369</v>
      </c>
      <c r="T1300" s="247" t="s">
        <v>2771</v>
      </c>
      <c r="U1300" s="245">
        <v>-31</v>
      </c>
      <c r="V1300" s="245">
        <v>-30</v>
      </c>
      <c r="W1300" s="245">
        <v>-30</v>
      </c>
      <c r="X1300" s="245">
        <v>-28</v>
      </c>
      <c r="Y1300" s="245">
        <v>-25</v>
      </c>
      <c r="Z1300" s="245">
        <v>-41</v>
      </c>
      <c r="AA1300" s="245">
        <v>6.2</v>
      </c>
      <c r="AB1300" s="245">
        <v>206</v>
      </c>
      <c r="AC1300" s="245">
        <v>-12</v>
      </c>
      <c r="AD1300" s="245">
        <v>281</v>
      </c>
      <c r="AE1300" s="245">
        <v>-7.7</v>
      </c>
      <c r="AF1300" s="245">
        <v>303</v>
      </c>
      <c r="AG1300" s="245">
        <v>-6.5</v>
      </c>
      <c r="AH1300" s="245">
        <v>48</v>
      </c>
      <c r="AI1300" s="245">
        <v>45</v>
      </c>
      <c r="AJ1300" s="245" t="s">
        <v>1018</v>
      </c>
      <c r="AK1300" s="245" t="s">
        <v>944</v>
      </c>
      <c r="AL1300" s="245" t="s">
        <v>931</v>
      </c>
      <c r="AM1300" s="246">
        <v>4.8</v>
      </c>
      <c r="AN1300" s="235">
        <v>369</v>
      </c>
      <c r="AO1300" s="247" t="s">
        <v>2772</v>
      </c>
      <c r="AP1300" s="247">
        <v>1010</v>
      </c>
      <c r="AQ1300" s="247">
        <v>14.9</v>
      </c>
      <c r="AR1300" s="247">
        <v>19.399999999999999</v>
      </c>
      <c r="AS1300" s="247">
        <v>17.3</v>
      </c>
      <c r="AT1300" s="247">
        <v>34</v>
      </c>
      <c r="AU1300" s="247">
        <v>8</v>
      </c>
      <c r="AV1300" s="247">
        <v>86</v>
      </c>
      <c r="AW1300" s="247">
        <v>74</v>
      </c>
      <c r="AX1300" s="247">
        <v>551</v>
      </c>
      <c r="AY1300" s="247" t="s">
        <v>965</v>
      </c>
      <c r="AZ1300" s="247" t="s">
        <v>978</v>
      </c>
      <c r="BA1300" s="248" t="s">
        <v>934</v>
      </c>
      <c r="BB1300" s="235">
        <v>334</v>
      </c>
      <c r="BC1300" s="247" t="s">
        <v>2770</v>
      </c>
      <c r="BD1300" s="247">
        <v>0.8</v>
      </c>
      <c r="BE1300" s="247">
        <v>0.9</v>
      </c>
      <c r="BF1300" s="247">
        <v>1.5</v>
      </c>
      <c r="BG1300" s="247">
        <v>3.1</v>
      </c>
      <c r="BH1300" s="247">
        <v>5.4</v>
      </c>
      <c r="BI1300" s="247">
        <v>8.5</v>
      </c>
      <c r="BJ1300" s="247">
        <v>11.7</v>
      </c>
      <c r="BK1300" s="247">
        <v>12.4</v>
      </c>
      <c r="BL1300" s="247">
        <v>8.6999999999999993</v>
      </c>
      <c r="BM1300" s="247">
        <v>3.5</v>
      </c>
      <c r="BN1300" s="247">
        <v>1.6</v>
      </c>
      <c r="BO1300" s="247">
        <v>0.9</v>
      </c>
      <c r="BP1300" s="248">
        <v>4.9000000000000004</v>
      </c>
    </row>
    <row r="1301" spans="1:68" ht="14.25" customHeight="1">
      <c r="A1301" s="233">
        <v>644</v>
      </c>
      <c r="B1301" s="234">
        <v>399</v>
      </c>
      <c r="C1301" s="244" t="s">
        <v>928</v>
      </c>
      <c r="D1301" s="244" t="s">
        <v>1011</v>
      </c>
      <c r="E1301" s="244" t="s">
        <v>2773</v>
      </c>
      <c r="F1301" s="245">
        <v>-23.9</v>
      </c>
      <c r="G1301" s="245">
        <v>-26.5</v>
      </c>
      <c r="H1301" s="245">
        <v>-24.1</v>
      </c>
      <c r="I1301" s="245">
        <v>-16</v>
      </c>
      <c r="J1301" s="245">
        <v>-2</v>
      </c>
      <c r="K1301" s="245">
        <v>9.8000000000000007</v>
      </c>
      <c r="L1301" s="245">
        <v>12.5</v>
      </c>
      <c r="M1301" s="245">
        <v>9.1999999999999993</v>
      </c>
      <c r="N1301" s="245">
        <v>2.2000000000000002</v>
      </c>
      <c r="O1301" s="245">
        <v>-10.3</v>
      </c>
      <c r="P1301" s="245">
        <v>-20.5</v>
      </c>
      <c r="Q1301" s="245">
        <v>-26.2</v>
      </c>
      <c r="R1301" s="246">
        <v>-9.6</v>
      </c>
      <c r="S1301" s="233">
        <v>399</v>
      </c>
      <c r="T1301" s="247" t="s">
        <v>2774</v>
      </c>
      <c r="U1301" s="245">
        <v>-54</v>
      </c>
      <c r="V1301" s="245">
        <v>-51</v>
      </c>
      <c r="W1301" s="245">
        <v>-52</v>
      </c>
      <c r="X1301" s="245">
        <v>-48</v>
      </c>
      <c r="Y1301" s="245">
        <v>-32</v>
      </c>
      <c r="Z1301" s="245">
        <v>-55</v>
      </c>
      <c r="AA1301" s="245">
        <v>10.5</v>
      </c>
      <c r="AB1301" s="245">
        <v>242</v>
      </c>
      <c r="AC1301" s="245">
        <v>-18.399999999999999</v>
      </c>
      <c r="AD1301" s="245">
        <v>294</v>
      </c>
      <c r="AE1301" s="245">
        <v>-14.5</v>
      </c>
      <c r="AF1301" s="245">
        <v>313</v>
      </c>
      <c r="AG1301" s="245">
        <v>-13</v>
      </c>
      <c r="AH1301" s="245">
        <v>73</v>
      </c>
      <c r="AI1301" s="245">
        <v>73</v>
      </c>
      <c r="AJ1301" s="245">
        <v>95</v>
      </c>
      <c r="AK1301" s="245" t="s">
        <v>944</v>
      </c>
      <c r="AL1301" s="245" t="s">
        <v>931</v>
      </c>
      <c r="AM1301" s="246">
        <v>2.2000000000000002</v>
      </c>
      <c r="AN1301" s="235">
        <v>399</v>
      </c>
      <c r="AO1301" s="247" t="s">
        <v>2775</v>
      </c>
      <c r="AP1301" s="247">
        <v>1000</v>
      </c>
      <c r="AQ1301" s="247">
        <v>16</v>
      </c>
      <c r="AR1301" s="247">
        <v>20.5</v>
      </c>
      <c r="AS1301" s="247">
        <v>18.399999999999999</v>
      </c>
      <c r="AT1301" s="247">
        <v>33</v>
      </c>
      <c r="AU1301" s="247">
        <v>11.7</v>
      </c>
      <c r="AV1301" s="247">
        <v>70</v>
      </c>
      <c r="AW1301" s="247">
        <v>60</v>
      </c>
      <c r="AX1301" s="247">
        <v>203</v>
      </c>
      <c r="AY1301" s="247">
        <v>34</v>
      </c>
      <c r="AZ1301" s="247" t="s">
        <v>959</v>
      </c>
      <c r="BA1301" s="248" t="s">
        <v>934</v>
      </c>
      <c r="BB1301" s="235">
        <v>363</v>
      </c>
      <c r="BC1301" s="247" t="s">
        <v>2773</v>
      </c>
      <c r="BD1301" s="247">
        <v>1.1000000000000001</v>
      </c>
      <c r="BE1301" s="247">
        <v>0.8</v>
      </c>
      <c r="BF1301" s="247">
        <v>0.8</v>
      </c>
      <c r="BG1301" s="247">
        <v>1.5</v>
      </c>
      <c r="BH1301" s="247">
        <v>4.0999999999999996</v>
      </c>
      <c r="BI1301" s="247">
        <v>7.7</v>
      </c>
      <c r="BJ1301" s="247">
        <v>10.1</v>
      </c>
      <c r="BK1301" s="247">
        <v>8.8000000000000007</v>
      </c>
      <c r="BL1301" s="247">
        <v>5.5</v>
      </c>
      <c r="BM1301" s="247">
        <v>2.5</v>
      </c>
      <c r="BN1301" s="247">
        <v>1.3</v>
      </c>
      <c r="BO1301" s="247">
        <v>0.8</v>
      </c>
      <c r="BP1301" s="248">
        <v>3.8</v>
      </c>
    </row>
    <row r="1302" spans="1:68" ht="14.25" customHeight="1">
      <c r="A1302" s="233">
        <v>645</v>
      </c>
      <c r="B1302" s="234">
        <v>300</v>
      </c>
      <c r="C1302" s="244" t="s">
        <v>928</v>
      </c>
      <c r="D1302" s="244" t="s">
        <v>992</v>
      </c>
      <c r="E1302" s="244" t="s">
        <v>2776</v>
      </c>
      <c r="F1302" s="245">
        <v>-5</v>
      </c>
      <c r="G1302" s="245">
        <v>-6</v>
      </c>
      <c r="H1302" s="245">
        <v>-3.2</v>
      </c>
      <c r="I1302" s="245">
        <v>1.6</v>
      </c>
      <c r="J1302" s="245">
        <v>5.4</v>
      </c>
      <c r="K1302" s="245">
        <v>8.3000000000000007</v>
      </c>
      <c r="L1302" s="245">
        <v>12.6</v>
      </c>
      <c r="M1302" s="245">
        <v>15.8</v>
      </c>
      <c r="N1302" s="245">
        <v>14.7</v>
      </c>
      <c r="O1302" s="245">
        <v>10.3</v>
      </c>
      <c r="P1302" s="245">
        <v>4</v>
      </c>
      <c r="Q1302" s="245">
        <v>-1.3</v>
      </c>
      <c r="R1302" s="246">
        <v>4.8</v>
      </c>
      <c r="S1302" s="233">
        <v>300</v>
      </c>
      <c r="T1302" s="247" t="s">
        <v>2777</v>
      </c>
      <c r="U1302" s="245">
        <v>-16</v>
      </c>
      <c r="V1302" s="245">
        <v>-15</v>
      </c>
      <c r="W1302" s="245">
        <v>-13</v>
      </c>
      <c r="X1302" s="245">
        <v>-12</v>
      </c>
      <c r="Y1302" s="245">
        <v>-11</v>
      </c>
      <c r="Z1302" s="245">
        <v>-20</v>
      </c>
      <c r="AA1302" s="245">
        <v>6.1</v>
      </c>
      <c r="AB1302" s="245">
        <v>118</v>
      </c>
      <c r="AC1302" s="245">
        <v>-3.7</v>
      </c>
      <c r="AD1302" s="245">
        <v>228</v>
      </c>
      <c r="AE1302" s="245">
        <v>0.1</v>
      </c>
      <c r="AF1302" s="245">
        <v>253</v>
      </c>
      <c r="AG1302" s="245">
        <v>1</v>
      </c>
      <c r="AH1302" s="245">
        <v>74</v>
      </c>
      <c r="AI1302" s="245">
        <v>73</v>
      </c>
      <c r="AJ1302" s="245">
        <v>410</v>
      </c>
      <c r="AK1302" s="245" t="s">
        <v>944</v>
      </c>
      <c r="AL1302" s="245">
        <v>8.5</v>
      </c>
      <c r="AM1302" s="246">
        <v>6.1</v>
      </c>
      <c r="AN1302" s="235">
        <v>294</v>
      </c>
      <c r="AO1302" s="247" t="s">
        <v>2778</v>
      </c>
      <c r="AP1302" s="247">
        <v>1005</v>
      </c>
      <c r="AQ1302" s="247">
        <v>16.600000000000001</v>
      </c>
      <c r="AR1302" s="247">
        <v>20</v>
      </c>
      <c r="AS1302" s="247">
        <v>18.7</v>
      </c>
      <c r="AT1302" s="247">
        <v>31</v>
      </c>
      <c r="AU1302" s="247">
        <v>7.9</v>
      </c>
      <c r="AV1302" s="247">
        <v>93</v>
      </c>
      <c r="AW1302" s="247">
        <v>92</v>
      </c>
      <c r="AX1302" s="247">
        <v>909</v>
      </c>
      <c r="AY1302" s="247">
        <v>144</v>
      </c>
      <c r="AZ1302" s="247" t="s">
        <v>940</v>
      </c>
      <c r="BA1302" s="248">
        <v>0</v>
      </c>
      <c r="BB1302" s="235">
        <v>265</v>
      </c>
      <c r="BC1302" s="247" t="s">
        <v>2776</v>
      </c>
      <c r="BD1302" s="247">
        <v>3.2</v>
      </c>
      <c r="BE1302" s="247">
        <v>3</v>
      </c>
      <c r="BF1302" s="247">
        <v>3.9</v>
      </c>
      <c r="BG1302" s="247">
        <v>5.7</v>
      </c>
      <c r="BH1302" s="247">
        <v>7.8</v>
      </c>
      <c r="BI1302" s="247">
        <v>10.4</v>
      </c>
      <c r="BJ1302" s="247">
        <v>14.1</v>
      </c>
      <c r="BK1302" s="247">
        <v>16.8</v>
      </c>
      <c r="BL1302" s="247">
        <v>14.5</v>
      </c>
      <c r="BM1302" s="247">
        <v>9.8000000000000007</v>
      </c>
      <c r="BN1302" s="247">
        <v>6.2</v>
      </c>
      <c r="BO1302" s="247">
        <v>4.2</v>
      </c>
      <c r="BP1302" s="248">
        <v>8.3000000000000007</v>
      </c>
    </row>
    <row r="1303" spans="1:68" ht="14.25" customHeight="1">
      <c r="A1303" s="233">
        <v>646</v>
      </c>
      <c r="B1303" s="234">
        <v>301</v>
      </c>
      <c r="C1303" s="244" t="s">
        <v>928</v>
      </c>
      <c r="D1303" s="244" t="s">
        <v>992</v>
      </c>
      <c r="E1303" s="244" t="s">
        <v>254</v>
      </c>
      <c r="F1303" s="245">
        <v>-13.7</v>
      </c>
      <c r="G1303" s="245">
        <v>-12.8</v>
      </c>
      <c r="H1303" s="245">
        <v>-6.6</v>
      </c>
      <c r="I1303" s="245">
        <v>1.3</v>
      </c>
      <c r="J1303" s="245">
        <v>6.7</v>
      </c>
      <c r="K1303" s="245">
        <v>11.2</v>
      </c>
      <c r="L1303" s="245">
        <v>15.6</v>
      </c>
      <c r="M1303" s="245">
        <v>16.899999999999999</v>
      </c>
      <c r="N1303" s="245">
        <v>12.9</v>
      </c>
      <c r="O1303" s="245">
        <v>6</v>
      </c>
      <c r="P1303" s="245">
        <v>-2.2999999999999998</v>
      </c>
      <c r="Q1303" s="245">
        <v>-9.1</v>
      </c>
      <c r="R1303" s="246">
        <v>2.2000000000000002</v>
      </c>
      <c r="S1303" s="233">
        <v>301</v>
      </c>
      <c r="T1303" s="247" t="s">
        <v>2779</v>
      </c>
      <c r="U1303" s="245">
        <v>-28</v>
      </c>
      <c r="V1303" s="245">
        <v>-26</v>
      </c>
      <c r="W1303" s="245">
        <v>-25</v>
      </c>
      <c r="X1303" s="245">
        <v>-24</v>
      </c>
      <c r="Y1303" s="245">
        <v>-19</v>
      </c>
      <c r="Z1303" s="245">
        <v>-36</v>
      </c>
      <c r="AA1303" s="245">
        <v>10.8</v>
      </c>
      <c r="AB1303" s="245">
        <v>154</v>
      </c>
      <c r="AC1303" s="245">
        <v>-8.4</v>
      </c>
      <c r="AD1303" s="245">
        <v>230</v>
      </c>
      <c r="AE1303" s="245">
        <v>-4.3</v>
      </c>
      <c r="AF1303" s="245">
        <v>252</v>
      </c>
      <c r="AG1303" s="245">
        <v>-3.1</v>
      </c>
      <c r="AH1303" s="245">
        <v>81</v>
      </c>
      <c r="AI1303" s="245">
        <v>71</v>
      </c>
      <c r="AJ1303" s="245">
        <v>263</v>
      </c>
      <c r="AK1303" s="245" t="s">
        <v>996</v>
      </c>
      <c r="AL1303" s="245">
        <v>4.8</v>
      </c>
      <c r="AM1303" s="246">
        <v>3.4</v>
      </c>
      <c r="AN1303" s="235">
        <v>295</v>
      </c>
      <c r="AO1303" s="247" t="s">
        <v>2780</v>
      </c>
      <c r="AP1303" s="247">
        <v>1010</v>
      </c>
      <c r="AQ1303" s="247">
        <v>19.7</v>
      </c>
      <c r="AR1303" s="247">
        <v>24</v>
      </c>
      <c r="AS1303" s="247">
        <v>22.1</v>
      </c>
      <c r="AT1303" s="247">
        <v>34</v>
      </c>
      <c r="AU1303" s="247">
        <v>9.1999999999999993</v>
      </c>
      <c r="AV1303" s="247">
        <v>86</v>
      </c>
      <c r="AW1303" s="247">
        <v>72</v>
      </c>
      <c r="AX1303" s="247">
        <v>559</v>
      </c>
      <c r="AY1303" s="247">
        <v>116</v>
      </c>
      <c r="AZ1303" s="247" t="s">
        <v>1005</v>
      </c>
      <c r="BA1303" s="248">
        <v>0</v>
      </c>
      <c r="BB1303" s="235">
        <v>266</v>
      </c>
      <c r="BC1303" s="247" t="s">
        <v>254</v>
      </c>
      <c r="BD1303" s="247">
        <v>1.9</v>
      </c>
      <c r="BE1303" s="247">
        <v>2</v>
      </c>
      <c r="BF1303" s="247">
        <v>3.1</v>
      </c>
      <c r="BG1303" s="247">
        <v>5.2</v>
      </c>
      <c r="BH1303" s="247">
        <v>7.5</v>
      </c>
      <c r="BI1303" s="247">
        <v>10.9</v>
      </c>
      <c r="BJ1303" s="247">
        <v>15.3</v>
      </c>
      <c r="BK1303" s="247">
        <v>16.5</v>
      </c>
      <c r="BL1303" s="247">
        <v>12.3</v>
      </c>
      <c r="BM1303" s="247">
        <v>7.5</v>
      </c>
      <c r="BN1303" s="247">
        <v>4.3</v>
      </c>
      <c r="BO1303" s="247">
        <v>2.7</v>
      </c>
      <c r="BP1303" s="248">
        <v>7.4</v>
      </c>
    </row>
    <row r="1304" spans="1:68" ht="14.25" customHeight="1">
      <c r="A1304" s="233">
        <v>647</v>
      </c>
      <c r="B1304" s="234">
        <v>80</v>
      </c>
      <c r="C1304" s="244" t="s">
        <v>928</v>
      </c>
      <c r="D1304" s="244" t="s">
        <v>1427</v>
      </c>
      <c r="E1304" s="244" t="s">
        <v>2781</v>
      </c>
      <c r="F1304" s="245">
        <v>-3.6</v>
      </c>
      <c r="G1304" s="245">
        <v>-2.5</v>
      </c>
      <c r="H1304" s="245">
        <v>2.4</v>
      </c>
      <c r="I1304" s="245">
        <v>10.6</v>
      </c>
      <c r="J1304" s="245">
        <v>17.8</v>
      </c>
      <c r="K1304" s="245">
        <v>22.4</v>
      </c>
      <c r="L1304" s="245">
        <v>25.1</v>
      </c>
      <c r="M1304" s="245">
        <v>24.2</v>
      </c>
      <c r="N1304" s="245">
        <v>18.2</v>
      </c>
      <c r="O1304" s="245">
        <v>10.8</v>
      </c>
      <c r="P1304" s="245">
        <v>4.8</v>
      </c>
      <c r="Q1304" s="245">
        <v>0.5</v>
      </c>
      <c r="R1304" s="246">
        <v>10.9</v>
      </c>
      <c r="S1304" s="233">
        <v>80</v>
      </c>
      <c r="T1304" s="247" t="s">
        <v>2782</v>
      </c>
      <c r="U1304" s="245">
        <v>-24</v>
      </c>
      <c r="V1304" s="245">
        <v>-23</v>
      </c>
      <c r="W1304" s="245">
        <v>-21</v>
      </c>
      <c r="X1304" s="245">
        <v>-19</v>
      </c>
      <c r="Y1304" s="245">
        <v>-10</v>
      </c>
      <c r="Z1304" s="245">
        <v>-35</v>
      </c>
      <c r="AA1304" s="245">
        <v>6.2</v>
      </c>
      <c r="AB1304" s="245">
        <v>77</v>
      </c>
      <c r="AC1304" s="245">
        <v>-2.5</v>
      </c>
      <c r="AD1304" s="245">
        <v>162</v>
      </c>
      <c r="AE1304" s="245">
        <v>0.8</v>
      </c>
      <c r="AF1304" s="245">
        <v>178</v>
      </c>
      <c r="AG1304" s="245">
        <v>1.6</v>
      </c>
      <c r="AH1304" s="245">
        <v>88</v>
      </c>
      <c r="AI1304" s="245">
        <v>85</v>
      </c>
      <c r="AJ1304" s="245">
        <v>99</v>
      </c>
      <c r="AK1304" s="245" t="s">
        <v>982</v>
      </c>
      <c r="AL1304" s="245" t="s">
        <v>931</v>
      </c>
      <c r="AM1304" s="246">
        <v>4.2</v>
      </c>
      <c r="AN1304" s="235">
        <v>80</v>
      </c>
      <c r="AO1304" s="247" t="s">
        <v>2783</v>
      </c>
      <c r="AP1304" s="247">
        <v>1000</v>
      </c>
      <c r="AQ1304" s="247">
        <v>31</v>
      </c>
      <c r="AR1304" s="247">
        <v>35</v>
      </c>
      <c r="AS1304" s="247">
        <v>32.5</v>
      </c>
      <c r="AT1304" s="247">
        <v>42</v>
      </c>
      <c r="AU1304" s="247">
        <v>14.2</v>
      </c>
      <c r="AV1304" s="247">
        <v>58</v>
      </c>
      <c r="AW1304" s="247">
        <v>36</v>
      </c>
      <c r="AX1304" s="247">
        <v>186</v>
      </c>
      <c r="AY1304" s="247" t="s">
        <v>965</v>
      </c>
      <c r="AZ1304" s="247" t="s">
        <v>1038</v>
      </c>
      <c r="BA1304" s="248" t="s">
        <v>934</v>
      </c>
      <c r="BB1304" s="235">
        <v>65</v>
      </c>
      <c r="BC1304" s="247" t="s">
        <v>2781</v>
      </c>
      <c r="BD1304" s="247">
        <v>4.5999999999999996</v>
      </c>
      <c r="BE1304" s="247">
        <v>4.7</v>
      </c>
      <c r="BF1304" s="247">
        <v>5.9</v>
      </c>
      <c r="BG1304" s="247">
        <v>8.6999999999999993</v>
      </c>
      <c r="BH1304" s="247">
        <v>12.2</v>
      </c>
      <c r="BI1304" s="247">
        <v>15.4</v>
      </c>
      <c r="BJ1304" s="247">
        <v>17.600000000000001</v>
      </c>
      <c r="BK1304" s="247">
        <v>17.3</v>
      </c>
      <c r="BL1304" s="247">
        <v>13.7</v>
      </c>
      <c r="BM1304" s="247">
        <v>10.1</v>
      </c>
      <c r="BN1304" s="247">
        <v>7.7</v>
      </c>
      <c r="BO1304" s="247">
        <v>5.9</v>
      </c>
      <c r="BP1304" s="248">
        <v>10.3</v>
      </c>
    </row>
    <row r="1305" spans="1:68" ht="14.25" customHeight="1">
      <c r="A1305" s="233">
        <v>648</v>
      </c>
      <c r="B1305" s="234">
        <v>226</v>
      </c>
      <c r="C1305" s="244" t="s">
        <v>928</v>
      </c>
      <c r="D1305" s="244" t="s">
        <v>1246</v>
      </c>
      <c r="E1305" s="244" t="s">
        <v>2784</v>
      </c>
      <c r="F1305" s="245">
        <v>-12.2</v>
      </c>
      <c r="G1305" s="245">
        <v>-12.6</v>
      </c>
      <c r="H1305" s="245">
        <v>-10.9</v>
      </c>
      <c r="I1305" s="245">
        <v>-6.9</v>
      </c>
      <c r="J1305" s="245">
        <v>-1.9</v>
      </c>
      <c r="K1305" s="245">
        <v>4.9000000000000004</v>
      </c>
      <c r="L1305" s="245">
        <v>9</v>
      </c>
      <c r="M1305" s="245">
        <v>7.2</v>
      </c>
      <c r="N1305" s="245">
        <v>1.5</v>
      </c>
      <c r="O1305" s="245">
        <v>-4.0999999999999996</v>
      </c>
      <c r="P1305" s="245">
        <v>-7.7</v>
      </c>
      <c r="Q1305" s="245">
        <v>-10.4</v>
      </c>
      <c r="R1305" s="246">
        <v>-3.7</v>
      </c>
      <c r="S1305" s="233">
        <v>226</v>
      </c>
      <c r="T1305" s="247" t="s">
        <v>2785</v>
      </c>
      <c r="U1305" s="245">
        <v>-31</v>
      </c>
      <c r="V1305" s="245">
        <v>-26</v>
      </c>
      <c r="W1305" s="245">
        <v>-27</v>
      </c>
      <c r="X1305" s="245">
        <v>-24</v>
      </c>
      <c r="Y1305" s="245">
        <v>-18</v>
      </c>
      <c r="Z1305" s="245">
        <v>-35</v>
      </c>
      <c r="AA1305" s="245">
        <v>4.8</v>
      </c>
      <c r="AB1305" s="245">
        <v>243</v>
      </c>
      <c r="AC1305" s="245">
        <v>-8.1</v>
      </c>
      <c r="AD1305" s="245">
        <v>340</v>
      </c>
      <c r="AE1305" s="245">
        <v>-4.5</v>
      </c>
      <c r="AF1305" s="245">
        <v>365</v>
      </c>
      <c r="AG1305" s="245">
        <v>-3.7</v>
      </c>
      <c r="AH1305" s="245">
        <v>92</v>
      </c>
      <c r="AI1305" s="245">
        <v>91</v>
      </c>
      <c r="AJ1305" s="245">
        <v>389</v>
      </c>
      <c r="AK1305" s="245" t="s">
        <v>971</v>
      </c>
      <c r="AL1305" s="245" t="s">
        <v>931</v>
      </c>
      <c r="AM1305" s="246">
        <v>5.0999999999999996</v>
      </c>
      <c r="AN1305" s="235">
        <v>226</v>
      </c>
      <c r="AO1305" s="247" t="s">
        <v>2786</v>
      </c>
      <c r="AP1305" s="247">
        <v>920</v>
      </c>
      <c r="AQ1305" s="247">
        <v>10.1</v>
      </c>
      <c r="AR1305" s="247">
        <v>14.9</v>
      </c>
      <c r="AS1305" s="247">
        <v>12.5</v>
      </c>
      <c r="AT1305" s="247">
        <v>26</v>
      </c>
      <c r="AU1305" s="247">
        <v>6.3</v>
      </c>
      <c r="AV1305" s="247">
        <v>78</v>
      </c>
      <c r="AW1305" s="247">
        <v>72</v>
      </c>
      <c r="AX1305" s="247">
        <v>677</v>
      </c>
      <c r="AY1305" s="247">
        <v>80</v>
      </c>
      <c r="AZ1305" s="247" t="s">
        <v>1005</v>
      </c>
      <c r="BA1305" s="248" t="s">
        <v>934</v>
      </c>
      <c r="BB1305" s="235">
        <v>201</v>
      </c>
      <c r="BC1305" s="247" t="s">
        <v>2784</v>
      </c>
      <c r="BD1305" s="247">
        <v>2.4</v>
      </c>
      <c r="BE1305" s="247">
        <v>2.2999999999999998</v>
      </c>
      <c r="BF1305" s="247">
        <v>2.6</v>
      </c>
      <c r="BG1305" s="247">
        <v>3.3</v>
      </c>
      <c r="BH1305" s="247">
        <v>4.5999999999999996</v>
      </c>
      <c r="BI1305" s="247">
        <v>6.9</v>
      </c>
      <c r="BJ1305" s="247">
        <v>9</v>
      </c>
      <c r="BK1305" s="247">
        <v>8.8000000000000007</v>
      </c>
      <c r="BL1305" s="247">
        <v>6.5</v>
      </c>
      <c r="BM1305" s="247">
        <v>4.3</v>
      </c>
      <c r="BN1305" s="247">
        <v>3.3</v>
      </c>
      <c r="BO1305" s="247">
        <v>2.8</v>
      </c>
      <c r="BP1305" s="248">
        <v>4.7</v>
      </c>
    </row>
    <row r="1306" spans="1:68" ht="14.25" customHeight="1">
      <c r="A1306" s="233">
        <v>649</v>
      </c>
      <c r="B1306" s="234">
        <v>449</v>
      </c>
      <c r="C1306" s="244" t="s">
        <v>928</v>
      </c>
      <c r="D1306" s="244" t="s">
        <v>969</v>
      </c>
      <c r="E1306" s="244" t="s">
        <v>2787</v>
      </c>
      <c r="F1306" s="245">
        <v>-42.6</v>
      </c>
      <c r="G1306" s="245">
        <v>-35.9</v>
      </c>
      <c r="H1306" s="245">
        <v>-22.2</v>
      </c>
      <c r="I1306" s="245">
        <v>-7.2</v>
      </c>
      <c r="J1306" s="245">
        <v>5.8</v>
      </c>
      <c r="K1306" s="245">
        <v>15.4</v>
      </c>
      <c r="L1306" s="245">
        <v>18.7</v>
      </c>
      <c r="M1306" s="245">
        <v>14.9</v>
      </c>
      <c r="N1306" s="245">
        <v>6.2</v>
      </c>
      <c r="O1306" s="245">
        <v>-8</v>
      </c>
      <c r="P1306" s="245">
        <v>-28.3</v>
      </c>
      <c r="Q1306" s="245">
        <v>-39.5</v>
      </c>
      <c r="R1306" s="246">
        <v>-10.199999999999999</v>
      </c>
      <c r="S1306" s="233">
        <v>449</v>
      </c>
      <c r="T1306" s="247" t="s">
        <v>2787</v>
      </c>
      <c r="U1306" s="245">
        <v>-59</v>
      </c>
      <c r="V1306" s="245">
        <v>-57</v>
      </c>
      <c r="W1306" s="245">
        <v>-57</v>
      </c>
      <c r="X1306" s="245">
        <v>-54</v>
      </c>
      <c r="Y1306" s="245">
        <v>-48</v>
      </c>
      <c r="Z1306" s="245">
        <v>-64</v>
      </c>
      <c r="AA1306" s="245">
        <v>8.9</v>
      </c>
      <c r="AB1306" s="245">
        <v>216</v>
      </c>
      <c r="AC1306" s="245">
        <v>-25.3</v>
      </c>
      <c r="AD1306" s="245">
        <v>256</v>
      </c>
      <c r="AE1306" s="245">
        <v>-20.6</v>
      </c>
      <c r="AF1306" s="245">
        <v>269</v>
      </c>
      <c r="AG1306" s="245">
        <v>-19.2</v>
      </c>
      <c r="AH1306" s="245">
        <v>73</v>
      </c>
      <c r="AI1306" s="245">
        <v>72</v>
      </c>
      <c r="AJ1306" s="245">
        <v>48</v>
      </c>
      <c r="AK1306" s="245" t="s">
        <v>996</v>
      </c>
      <c r="AL1306" s="245">
        <v>2.6</v>
      </c>
      <c r="AM1306" s="246">
        <v>1.9</v>
      </c>
      <c r="AN1306" s="235">
        <v>449</v>
      </c>
      <c r="AO1306" s="247" t="s">
        <v>2788</v>
      </c>
      <c r="AP1306" s="247">
        <v>995</v>
      </c>
      <c r="AQ1306" s="247">
        <v>22.8</v>
      </c>
      <c r="AR1306" s="247">
        <v>26.9</v>
      </c>
      <c r="AS1306" s="247">
        <v>25.2</v>
      </c>
      <c r="AT1306" s="247">
        <v>38</v>
      </c>
      <c r="AU1306" s="247">
        <v>13.5</v>
      </c>
      <c r="AV1306" s="247">
        <v>60</v>
      </c>
      <c r="AW1306" s="247">
        <v>57</v>
      </c>
      <c r="AX1306" s="247">
        <v>186</v>
      </c>
      <c r="AY1306" s="247">
        <v>78</v>
      </c>
      <c r="AZ1306" s="247" t="s">
        <v>959</v>
      </c>
      <c r="BA1306" s="248">
        <v>0</v>
      </c>
      <c r="BB1306" s="235">
        <v>411</v>
      </c>
      <c r="BC1306" s="247" t="s">
        <v>2787</v>
      </c>
      <c r="BD1306" s="247">
        <v>0.1</v>
      </c>
      <c r="BE1306" s="247">
        <v>0.3</v>
      </c>
      <c r="BF1306" s="247">
        <v>0.9</v>
      </c>
      <c r="BG1306" s="247">
        <v>2.5</v>
      </c>
      <c r="BH1306" s="247">
        <v>5</v>
      </c>
      <c r="BI1306" s="247">
        <v>9.4</v>
      </c>
      <c r="BJ1306" s="247">
        <v>12.6</v>
      </c>
      <c r="BK1306" s="247">
        <v>11.3</v>
      </c>
      <c r="BL1306" s="247">
        <v>6.6</v>
      </c>
      <c r="BM1306" s="247">
        <v>2.9</v>
      </c>
      <c r="BN1306" s="247">
        <v>0.6</v>
      </c>
      <c r="BO1306" s="247">
        <v>0.2</v>
      </c>
      <c r="BP1306" s="248">
        <v>4.4000000000000004</v>
      </c>
    </row>
    <row r="1307" spans="1:68" ht="14.25" customHeight="1">
      <c r="A1307" s="233">
        <v>650</v>
      </c>
      <c r="B1307" s="234">
        <v>653</v>
      </c>
      <c r="C1307" s="244" t="s">
        <v>953</v>
      </c>
      <c r="D1307" s="244" t="s">
        <v>954</v>
      </c>
      <c r="E1307" s="244" t="s">
        <v>2789</v>
      </c>
      <c r="F1307" s="245">
        <v>3.9</v>
      </c>
      <c r="G1307" s="245">
        <v>4.2</v>
      </c>
      <c r="H1307" s="245">
        <v>6</v>
      </c>
      <c r="I1307" s="245">
        <v>10.8</v>
      </c>
      <c r="J1307" s="245">
        <v>15.6</v>
      </c>
      <c r="K1307" s="245">
        <v>20.2</v>
      </c>
      <c r="L1307" s="245">
        <v>23.2</v>
      </c>
      <c r="M1307" s="245">
        <v>23</v>
      </c>
      <c r="N1307" s="245">
        <v>19</v>
      </c>
      <c r="O1307" s="245">
        <v>13.6</v>
      </c>
      <c r="P1307" s="245">
        <v>9.5</v>
      </c>
      <c r="Q1307" s="245">
        <v>6.3</v>
      </c>
      <c r="R1307" s="246">
        <v>12.9</v>
      </c>
      <c r="S1307" s="233">
        <v>642</v>
      </c>
      <c r="T1307" s="247" t="s">
        <v>2789</v>
      </c>
      <c r="U1307" s="245">
        <v>-10</v>
      </c>
      <c r="V1307" s="245">
        <v>-8</v>
      </c>
      <c r="W1307" s="245">
        <v>-7</v>
      </c>
      <c r="X1307" s="245">
        <v>-6</v>
      </c>
      <c r="Y1307" s="245">
        <v>1</v>
      </c>
      <c r="Z1307" s="245">
        <v>-15</v>
      </c>
      <c r="AA1307" s="245" t="s">
        <v>956</v>
      </c>
      <c r="AB1307" s="245">
        <v>0</v>
      </c>
      <c r="AC1307" s="245" t="s">
        <v>830</v>
      </c>
      <c r="AD1307" s="245">
        <v>119</v>
      </c>
      <c r="AE1307" s="245">
        <v>5.0999999999999996</v>
      </c>
      <c r="AF1307" s="245">
        <v>149</v>
      </c>
      <c r="AG1307" s="245">
        <v>5.9</v>
      </c>
      <c r="AH1307" s="245" t="s">
        <v>956</v>
      </c>
      <c r="AI1307" s="245" t="s">
        <v>956</v>
      </c>
      <c r="AJ1307" s="245">
        <v>355</v>
      </c>
      <c r="AK1307" s="245" t="s">
        <v>950</v>
      </c>
      <c r="AL1307" s="245" t="s">
        <v>931</v>
      </c>
      <c r="AM1307" s="246" t="s">
        <v>931</v>
      </c>
      <c r="AN1307" s="235">
        <v>643</v>
      </c>
      <c r="AO1307" s="247" t="s">
        <v>2790</v>
      </c>
      <c r="AP1307" s="247">
        <v>1010</v>
      </c>
      <c r="AQ1307" s="247">
        <v>31</v>
      </c>
      <c r="AR1307" s="247">
        <v>26</v>
      </c>
      <c r="AS1307" s="247">
        <v>27.3</v>
      </c>
      <c r="AT1307" s="247">
        <v>37</v>
      </c>
      <c r="AU1307" s="247" t="s">
        <v>934</v>
      </c>
      <c r="AV1307" s="247" t="s">
        <v>958</v>
      </c>
      <c r="AW1307" s="247" t="s">
        <v>931</v>
      </c>
      <c r="AX1307" s="247" t="s">
        <v>931</v>
      </c>
      <c r="AY1307" s="247">
        <v>189</v>
      </c>
      <c r="AZ1307" s="247" t="s">
        <v>952</v>
      </c>
      <c r="BA1307" s="248">
        <v>1.1000000000000001</v>
      </c>
      <c r="BB1307" s="235"/>
      <c r="BC1307" s="247" t="s">
        <v>2789</v>
      </c>
      <c r="BD1307" s="247"/>
      <c r="BE1307" s="247"/>
      <c r="BF1307" s="247"/>
      <c r="BG1307" s="247"/>
      <c r="BH1307" s="247"/>
      <c r="BI1307" s="247"/>
      <c r="BJ1307" s="247"/>
      <c r="BK1307" s="247"/>
      <c r="BL1307" s="247"/>
      <c r="BM1307" s="247"/>
      <c r="BN1307" s="247"/>
      <c r="BO1307" s="247"/>
      <c r="BP1307" s="248"/>
    </row>
    <row r="1308" spans="1:68" ht="14.25" customHeight="1">
      <c r="A1308" s="233">
        <v>651</v>
      </c>
      <c r="B1308" s="234">
        <v>51</v>
      </c>
      <c r="C1308" s="244" t="s">
        <v>928</v>
      </c>
      <c r="D1308" s="244" t="s">
        <v>1149</v>
      </c>
      <c r="E1308" s="244" t="s">
        <v>2791</v>
      </c>
      <c r="F1308" s="245">
        <v>-15.5</v>
      </c>
      <c r="G1308" s="245">
        <v>-13.7</v>
      </c>
      <c r="H1308" s="245">
        <v>-7.1</v>
      </c>
      <c r="I1308" s="245">
        <v>2.9</v>
      </c>
      <c r="J1308" s="245">
        <v>11.2</v>
      </c>
      <c r="K1308" s="245">
        <v>15.1</v>
      </c>
      <c r="L1308" s="245">
        <v>17.100000000000001</v>
      </c>
      <c r="M1308" s="245">
        <v>14.5</v>
      </c>
      <c r="N1308" s="245">
        <v>9.1999999999999993</v>
      </c>
      <c r="O1308" s="245">
        <v>0.8</v>
      </c>
      <c r="P1308" s="245">
        <v>-6.1</v>
      </c>
      <c r="Q1308" s="245">
        <v>-11.7</v>
      </c>
      <c r="R1308" s="246">
        <v>1.5</v>
      </c>
      <c r="S1308" s="233">
        <v>51</v>
      </c>
      <c r="T1308" s="247" t="s">
        <v>2792</v>
      </c>
      <c r="U1308" s="245">
        <v>-44</v>
      </c>
      <c r="V1308" s="245">
        <v>-40</v>
      </c>
      <c r="W1308" s="245">
        <v>-41</v>
      </c>
      <c r="X1308" s="245">
        <v>-37</v>
      </c>
      <c r="Y1308" s="245">
        <v>-20</v>
      </c>
      <c r="Z1308" s="245">
        <v>-51</v>
      </c>
      <c r="AA1308" s="245">
        <v>8.1999999999999993</v>
      </c>
      <c r="AB1308" s="245">
        <v>169</v>
      </c>
      <c r="AC1308" s="245">
        <v>-9.4</v>
      </c>
      <c r="AD1308" s="245">
        <v>226</v>
      </c>
      <c r="AE1308" s="245">
        <v>-6</v>
      </c>
      <c r="AF1308" s="245">
        <v>243</v>
      </c>
      <c r="AG1308" s="245">
        <v>-5</v>
      </c>
      <c r="AH1308" s="245">
        <v>82</v>
      </c>
      <c r="AI1308" s="245">
        <v>82</v>
      </c>
      <c r="AJ1308" s="245">
        <v>126</v>
      </c>
      <c r="AK1308" s="245" t="s">
        <v>971</v>
      </c>
      <c r="AL1308" s="245">
        <v>7.6</v>
      </c>
      <c r="AM1308" s="246">
        <v>4.5999999999999996</v>
      </c>
      <c r="AN1308" s="235">
        <v>51</v>
      </c>
      <c r="AO1308" s="247" t="s">
        <v>2793</v>
      </c>
      <c r="AP1308" s="247">
        <v>1000</v>
      </c>
      <c r="AQ1308" s="247">
        <v>22.5</v>
      </c>
      <c r="AR1308" s="247">
        <v>26.6</v>
      </c>
      <c r="AS1308" s="247">
        <v>24.9</v>
      </c>
      <c r="AT1308" s="247">
        <v>38</v>
      </c>
      <c r="AU1308" s="247">
        <v>12.8</v>
      </c>
      <c r="AV1308" s="247">
        <v>70</v>
      </c>
      <c r="AW1308" s="247">
        <v>51</v>
      </c>
      <c r="AX1308" s="247">
        <v>329</v>
      </c>
      <c r="AY1308" s="247">
        <v>63</v>
      </c>
      <c r="AZ1308" s="247" t="s">
        <v>940</v>
      </c>
      <c r="BA1308" s="248">
        <v>0</v>
      </c>
      <c r="BB1308" s="235">
        <v>37</v>
      </c>
      <c r="BC1308" s="247" t="s">
        <v>2791</v>
      </c>
      <c r="BD1308" s="247">
        <v>2</v>
      </c>
      <c r="BE1308" s="247">
        <v>2</v>
      </c>
      <c r="BF1308" s="247">
        <v>3.1</v>
      </c>
      <c r="BG1308" s="247">
        <v>5.9</v>
      </c>
      <c r="BH1308" s="247">
        <v>8.5</v>
      </c>
      <c r="BI1308" s="247">
        <v>11.9</v>
      </c>
      <c r="BJ1308" s="247">
        <v>14.6</v>
      </c>
      <c r="BK1308" s="247">
        <v>13</v>
      </c>
      <c r="BL1308" s="247">
        <v>9.4</v>
      </c>
      <c r="BM1308" s="247">
        <v>6</v>
      </c>
      <c r="BN1308" s="247">
        <v>3.9</v>
      </c>
      <c r="BO1308" s="247">
        <v>2.6</v>
      </c>
      <c r="BP1308" s="248">
        <v>6.9</v>
      </c>
    </row>
    <row r="1309" spans="1:68" ht="14.25" customHeight="1">
      <c r="A1309" s="233">
        <v>652</v>
      </c>
      <c r="B1309" s="234">
        <v>457</v>
      </c>
      <c r="C1309" s="244" t="s">
        <v>928</v>
      </c>
      <c r="D1309" s="244" t="s">
        <v>2794</v>
      </c>
      <c r="E1309" s="244" t="s">
        <v>2795</v>
      </c>
      <c r="F1309" s="245">
        <v>-11.9</v>
      </c>
      <c r="G1309" s="245">
        <v>-10.7</v>
      </c>
      <c r="H1309" s="245">
        <v>-5.0999999999999996</v>
      </c>
      <c r="I1309" s="245">
        <v>3.7</v>
      </c>
      <c r="J1309" s="245">
        <v>10.9</v>
      </c>
      <c r="K1309" s="245">
        <v>15.7</v>
      </c>
      <c r="L1309" s="245">
        <v>17.600000000000001</v>
      </c>
      <c r="M1309" s="245">
        <v>16</v>
      </c>
      <c r="N1309" s="245">
        <v>10</v>
      </c>
      <c r="O1309" s="245">
        <v>3.4</v>
      </c>
      <c r="P1309" s="245">
        <v>-2.7</v>
      </c>
      <c r="Q1309" s="245">
        <v>-8.1</v>
      </c>
      <c r="R1309" s="246">
        <v>3.2</v>
      </c>
      <c r="S1309" s="233">
        <v>457</v>
      </c>
      <c r="T1309" s="247" t="s">
        <v>2795</v>
      </c>
      <c r="U1309" s="245">
        <v>-37</v>
      </c>
      <c r="V1309" s="245">
        <v>-34</v>
      </c>
      <c r="W1309" s="245">
        <v>-34</v>
      </c>
      <c r="X1309" s="245">
        <v>-31</v>
      </c>
      <c r="Y1309" s="245">
        <v>-17</v>
      </c>
      <c r="Z1309" s="245">
        <v>-46</v>
      </c>
      <c r="AA1309" s="245">
        <v>8.3000000000000007</v>
      </c>
      <c r="AB1309" s="245">
        <v>152</v>
      </c>
      <c r="AC1309" s="245">
        <v>-7.8</v>
      </c>
      <c r="AD1309" s="245">
        <v>221</v>
      </c>
      <c r="AE1309" s="245">
        <v>-4</v>
      </c>
      <c r="AF1309" s="245">
        <v>239</v>
      </c>
      <c r="AG1309" s="245">
        <v>-2.8</v>
      </c>
      <c r="AH1309" s="245">
        <v>83</v>
      </c>
      <c r="AI1309" s="245">
        <v>82</v>
      </c>
      <c r="AJ1309" s="245">
        <v>174</v>
      </c>
      <c r="AK1309" s="245" t="s">
        <v>963</v>
      </c>
      <c r="AL1309" s="245">
        <v>5.5</v>
      </c>
      <c r="AM1309" s="246">
        <v>4.3</v>
      </c>
      <c r="AN1309" s="235">
        <v>457</v>
      </c>
      <c r="AO1309" s="247" t="s">
        <v>2796</v>
      </c>
      <c r="AP1309" s="247">
        <v>1000</v>
      </c>
      <c r="AQ1309" s="247">
        <v>20.8</v>
      </c>
      <c r="AR1309" s="247">
        <v>25</v>
      </c>
      <c r="AS1309" s="247">
        <v>23.2</v>
      </c>
      <c r="AT1309" s="247">
        <v>37</v>
      </c>
      <c r="AU1309" s="247">
        <v>10.8</v>
      </c>
      <c r="AV1309" s="247">
        <v>74</v>
      </c>
      <c r="AW1309" s="247">
        <v>58</v>
      </c>
      <c r="AX1309" s="247">
        <v>404</v>
      </c>
      <c r="AY1309" s="247">
        <v>76</v>
      </c>
      <c r="AZ1309" s="247" t="s">
        <v>1005</v>
      </c>
      <c r="BA1309" s="248">
        <v>3.9</v>
      </c>
      <c r="BB1309" s="235">
        <v>419</v>
      </c>
      <c r="BC1309" s="247" t="s">
        <v>2795</v>
      </c>
      <c r="BD1309" s="247">
        <v>2.5</v>
      </c>
      <c r="BE1309" s="247">
        <v>2.6</v>
      </c>
      <c r="BF1309" s="247">
        <v>3.6</v>
      </c>
      <c r="BG1309" s="247">
        <v>5.9</v>
      </c>
      <c r="BH1309" s="247">
        <v>8.8000000000000007</v>
      </c>
      <c r="BI1309" s="247">
        <v>12.3</v>
      </c>
      <c r="BJ1309" s="247">
        <v>14.8</v>
      </c>
      <c r="BK1309" s="247">
        <v>14</v>
      </c>
      <c r="BL1309" s="247">
        <v>10.1</v>
      </c>
      <c r="BM1309" s="247">
        <v>6.8</v>
      </c>
      <c r="BN1309" s="247">
        <v>4.5999999999999996</v>
      </c>
      <c r="BO1309" s="247">
        <v>3.3</v>
      </c>
      <c r="BP1309" s="248">
        <v>7.4</v>
      </c>
    </row>
    <row r="1310" spans="1:68" ht="14.25" customHeight="1">
      <c r="A1310" s="233">
        <v>653</v>
      </c>
      <c r="B1310" s="234">
        <v>194</v>
      </c>
      <c r="C1310" s="244" t="s">
        <v>928</v>
      </c>
      <c r="D1310" s="244" t="s">
        <v>935</v>
      </c>
      <c r="E1310" s="244" t="s">
        <v>2797</v>
      </c>
      <c r="F1310" s="245">
        <v>-23.6</v>
      </c>
      <c r="G1310" s="245">
        <v>-21.5</v>
      </c>
      <c r="H1310" s="245">
        <v>-12.9</v>
      </c>
      <c r="I1310" s="245">
        <v>-2.7</v>
      </c>
      <c r="J1310" s="245">
        <v>5.0999999999999996</v>
      </c>
      <c r="K1310" s="245">
        <v>14.3</v>
      </c>
      <c r="L1310" s="245">
        <v>18.2</v>
      </c>
      <c r="M1310" s="245">
        <v>14</v>
      </c>
      <c r="N1310" s="245">
        <v>7.6</v>
      </c>
      <c r="O1310" s="245">
        <v>-1.8</v>
      </c>
      <c r="P1310" s="245">
        <v>-14.7</v>
      </c>
      <c r="Q1310" s="245">
        <v>-22.3</v>
      </c>
      <c r="R1310" s="246">
        <v>-3.4</v>
      </c>
      <c r="S1310" s="233">
        <v>194</v>
      </c>
      <c r="T1310" s="247" t="s">
        <v>2798</v>
      </c>
      <c r="U1310" s="245">
        <v>-53</v>
      </c>
      <c r="V1310" s="245">
        <v>-50</v>
      </c>
      <c r="W1310" s="245">
        <v>-50</v>
      </c>
      <c r="X1310" s="245">
        <v>-47</v>
      </c>
      <c r="Y1310" s="245">
        <v>-29</v>
      </c>
      <c r="Z1310" s="245">
        <v>-56</v>
      </c>
      <c r="AA1310" s="245">
        <v>9.9</v>
      </c>
      <c r="AB1310" s="245">
        <v>198</v>
      </c>
      <c r="AC1310" s="245">
        <v>-14.9</v>
      </c>
      <c r="AD1310" s="245">
        <v>254</v>
      </c>
      <c r="AE1310" s="245">
        <v>-10.8</v>
      </c>
      <c r="AF1310" s="245">
        <v>270</v>
      </c>
      <c r="AG1310" s="245">
        <v>-9.6</v>
      </c>
      <c r="AH1310" s="245">
        <v>79</v>
      </c>
      <c r="AI1310" s="245">
        <v>78</v>
      </c>
      <c r="AJ1310" s="245">
        <v>170</v>
      </c>
      <c r="AK1310" s="245" t="s">
        <v>990</v>
      </c>
      <c r="AL1310" s="245">
        <v>4.7</v>
      </c>
      <c r="AM1310" s="246">
        <v>3.6</v>
      </c>
      <c r="AN1310" s="235">
        <v>194</v>
      </c>
      <c r="AO1310" s="247" t="s">
        <v>2799</v>
      </c>
      <c r="AP1310" s="247">
        <v>1000</v>
      </c>
      <c r="AQ1310" s="247">
        <v>21.7</v>
      </c>
      <c r="AR1310" s="247">
        <v>25.9</v>
      </c>
      <c r="AS1310" s="247">
        <v>24.1</v>
      </c>
      <c r="AT1310" s="247">
        <v>36</v>
      </c>
      <c r="AU1310" s="247">
        <v>12.1</v>
      </c>
      <c r="AV1310" s="247">
        <v>71</v>
      </c>
      <c r="AW1310" s="247">
        <v>56</v>
      </c>
      <c r="AX1310" s="247">
        <v>443</v>
      </c>
      <c r="AY1310" s="247">
        <v>77</v>
      </c>
      <c r="AZ1310" s="247" t="s">
        <v>946</v>
      </c>
      <c r="BA1310" s="248">
        <v>0</v>
      </c>
      <c r="BB1310" s="235">
        <v>170</v>
      </c>
      <c r="BC1310" s="247" t="s">
        <v>2797</v>
      </c>
      <c r="BD1310" s="247">
        <v>1.1000000000000001</v>
      </c>
      <c r="BE1310" s="247">
        <v>1.2</v>
      </c>
      <c r="BF1310" s="247">
        <v>2</v>
      </c>
      <c r="BG1310" s="247">
        <v>3.6</v>
      </c>
      <c r="BH1310" s="247">
        <v>5.9</v>
      </c>
      <c r="BI1310" s="247">
        <v>10.6</v>
      </c>
      <c r="BJ1310" s="247">
        <v>14.5</v>
      </c>
      <c r="BK1310" s="247">
        <v>12.6</v>
      </c>
      <c r="BL1310" s="247">
        <v>8.6</v>
      </c>
      <c r="BM1310" s="247">
        <v>4.7</v>
      </c>
      <c r="BN1310" s="247">
        <v>2.2000000000000002</v>
      </c>
      <c r="BO1310" s="247">
        <v>1.3</v>
      </c>
      <c r="BP1310" s="248">
        <v>5.7</v>
      </c>
    </row>
    <row r="1311" spans="1:68" ht="14.25" customHeight="1">
      <c r="AN1311" s="253"/>
      <c r="AO1311" s="254"/>
      <c r="AP1311" s="254"/>
      <c r="AQ1311" s="254"/>
      <c r="AR1311" s="254"/>
      <c r="AS1311" s="254"/>
      <c r="AT1311" s="254"/>
      <c r="AU1311" s="254"/>
      <c r="AV1311" s="254"/>
      <c r="AW1311" s="254"/>
      <c r="AX1311" s="254"/>
      <c r="AY1311" s="254"/>
      <c r="AZ1311" s="254"/>
      <c r="BA1311" s="254"/>
    </row>
    <row r="1312" spans="1:68" ht="14.25" customHeight="1">
      <c r="AN1312" s="253"/>
      <c r="AO1312" s="254"/>
      <c r="AP1312" s="254"/>
      <c r="AQ1312" s="254"/>
      <c r="AR1312" s="254"/>
      <c r="AS1312" s="254"/>
      <c r="AT1312" s="254"/>
      <c r="AU1312" s="254"/>
      <c r="AV1312" s="254"/>
      <c r="AW1312" s="254"/>
      <c r="AX1312" s="254"/>
      <c r="AY1312" s="254"/>
      <c r="AZ1312" s="254"/>
      <c r="BA1312" s="254"/>
    </row>
    <row r="1313" spans="40:53" ht="14.25" customHeight="1">
      <c r="AN1313" s="253"/>
      <c r="AO1313" s="254"/>
      <c r="AP1313" s="254"/>
      <c r="AQ1313" s="254"/>
      <c r="AR1313" s="254"/>
      <c r="AS1313" s="254"/>
      <c r="AT1313" s="254"/>
      <c r="AU1313" s="254"/>
      <c r="AV1313" s="254"/>
      <c r="AW1313" s="254"/>
      <c r="AX1313" s="254"/>
      <c r="AY1313" s="254"/>
      <c r="AZ1313" s="254"/>
      <c r="BA1313" s="254"/>
    </row>
    <row r="1314" spans="40:53" ht="14.25" customHeight="1">
      <c r="AN1314" s="253"/>
      <c r="AO1314" s="254"/>
      <c r="AP1314" s="254"/>
      <c r="AQ1314" s="254"/>
      <c r="AR1314" s="254"/>
      <c r="AS1314" s="254"/>
      <c r="AT1314" s="254"/>
      <c r="AU1314" s="254"/>
      <c r="AV1314" s="254"/>
      <c r="AW1314" s="254"/>
      <c r="AX1314" s="254"/>
      <c r="AY1314" s="254"/>
      <c r="AZ1314" s="254"/>
      <c r="BA1314" s="254"/>
    </row>
    <row r="1315" spans="40:53" ht="14.25" customHeight="1">
      <c r="AN1315" s="253"/>
      <c r="AO1315" s="254"/>
      <c r="AP1315" s="254"/>
      <c r="AQ1315" s="254"/>
      <c r="AR1315" s="254"/>
      <c r="AS1315" s="254"/>
      <c r="AT1315" s="254"/>
      <c r="AU1315" s="254"/>
      <c r="AV1315" s="254"/>
      <c r="AW1315" s="254"/>
      <c r="AX1315" s="254"/>
      <c r="AY1315" s="254"/>
      <c r="AZ1315" s="254"/>
      <c r="BA1315" s="254"/>
    </row>
    <row r="1316" spans="40:53" ht="14.25" customHeight="1">
      <c r="AN1316" s="253"/>
      <c r="AO1316" s="254"/>
      <c r="AP1316" s="254"/>
      <c r="AQ1316" s="254"/>
      <c r="AR1316" s="254"/>
      <c r="AS1316" s="254"/>
      <c r="AT1316" s="254"/>
      <c r="AU1316" s="254"/>
      <c r="AV1316" s="254"/>
      <c r="AW1316" s="254"/>
      <c r="AX1316" s="254"/>
      <c r="AY1316" s="254"/>
      <c r="AZ1316" s="254"/>
      <c r="BA1316" s="254"/>
    </row>
    <row r="1317" spans="40:53" ht="14.25" customHeight="1">
      <c r="AN1317" s="253"/>
      <c r="AO1317" s="254"/>
      <c r="AP1317" s="254"/>
      <c r="AQ1317" s="254"/>
      <c r="AR1317" s="254"/>
      <c r="AS1317" s="254"/>
      <c r="AT1317" s="254"/>
      <c r="AU1317" s="254"/>
      <c r="AV1317" s="254"/>
      <c r="AW1317" s="254"/>
      <c r="AX1317" s="254"/>
      <c r="AY1317" s="254"/>
      <c r="AZ1317" s="254"/>
      <c r="BA1317" s="254"/>
    </row>
    <row r="1318" spans="40:53" ht="14.25" customHeight="1">
      <c r="AN1318" s="253"/>
      <c r="AO1318" s="254"/>
      <c r="AP1318" s="254"/>
      <c r="AQ1318" s="254"/>
      <c r="AR1318" s="254"/>
      <c r="AS1318" s="254"/>
      <c r="AT1318" s="254"/>
      <c r="AU1318" s="254"/>
      <c r="AV1318" s="254"/>
      <c r="AW1318" s="254"/>
      <c r="AX1318" s="254"/>
      <c r="AY1318" s="254"/>
      <c r="AZ1318" s="254"/>
      <c r="BA1318" s="254"/>
    </row>
    <row r="1319" spans="40:53" ht="14.25" customHeight="1">
      <c r="AN1319" s="253"/>
      <c r="AO1319" s="254"/>
      <c r="AP1319" s="254"/>
      <c r="AQ1319" s="254"/>
      <c r="AR1319" s="254"/>
      <c r="AS1319" s="254"/>
      <c r="AT1319" s="254"/>
      <c r="AU1319" s="254"/>
      <c r="AV1319" s="254"/>
      <c r="AW1319" s="254"/>
      <c r="AX1319" s="254"/>
      <c r="AY1319" s="254"/>
      <c r="AZ1319" s="254"/>
      <c r="BA1319" s="254"/>
    </row>
    <row r="1320" spans="40:53" ht="14.25" customHeight="1">
      <c r="AN1320" s="253"/>
      <c r="AO1320" s="254"/>
      <c r="AP1320" s="254"/>
      <c r="AQ1320" s="254"/>
      <c r="AR1320" s="254"/>
      <c r="AS1320" s="254"/>
      <c r="AT1320" s="254"/>
      <c r="AU1320" s="254"/>
      <c r="AV1320" s="254"/>
      <c r="AW1320" s="254"/>
      <c r="AX1320" s="254"/>
      <c r="AY1320" s="254"/>
      <c r="AZ1320" s="254"/>
      <c r="BA1320" s="254"/>
    </row>
    <row r="1321" spans="40:53" ht="14.25" customHeight="1">
      <c r="AN1321" s="253"/>
      <c r="AO1321" s="254"/>
      <c r="AP1321" s="254"/>
      <c r="AQ1321" s="254"/>
      <c r="AR1321" s="254"/>
      <c r="AS1321" s="254"/>
      <c r="AT1321" s="254"/>
      <c r="AU1321" s="254"/>
      <c r="AV1321" s="254"/>
      <c r="AW1321" s="254"/>
      <c r="AX1321" s="254"/>
      <c r="AY1321" s="254"/>
      <c r="AZ1321" s="254"/>
      <c r="BA1321" s="254"/>
    </row>
  </sheetData>
  <autoFilter ref="A4:BP4">
    <sortState ref="A4:BP4">
      <sortCondition descending="1" ref="C4"/>
    </sortState>
  </autoFilter>
  <mergeCells count="30">
    <mergeCell ref="B1:R2"/>
    <mergeCell ref="T1:AM1"/>
    <mergeCell ref="AO1:BA1"/>
    <mergeCell ref="BC1:BP2"/>
    <mergeCell ref="T2:T3"/>
    <mergeCell ref="U2:V2"/>
    <mergeCell ref="W2:X2"/>
    <mergeCell ref="Y2:Y3"/>
    <mergeCell ref="Z2:Z3"/>
    <mergeCell ref="AA2:AA3"/>
    <mergeCell ref="AS2:AS3"/>
    <mergeCell ref="AB2:AG2"/>
    <mergeCell ref="AH2:AH3"/>
    <mergeCell ref="AI2:AI3"/>
    <mergeCell ref="AJ2:AJ3"/>
    <mergeCell ref="AK2:AK3"/>
    <mergeCell ref="AL2:AL3"/>
    <mergeCell ref="AM2:AM3"/>
    <mergeCell ref="AO2:AO3"/>
    <mergeCell ref="AP2:AP3"/>
    <mergeCell ref="AQ2:AQ3"/>
    <mergeCell ref="AR2:AR3"/>
    <mergeCell ref="AZ2:AZ3"/>
    <mergeCell ref="BA2:BA3"/>
    <mergeCell ref="AT2:AT3"/>
    <mergeCell ref="AU2:AU3"/>
    <mergeCell ref="AV2:AV3"/>
    <mergeCell ref="AW2:AW3"/>
    <mergeCell ref="AX2:AX3"/>
    <mergeCell ref="AY2:AY3"/>
  </mergeCells>
  <pageMargins left="0.7" right="0.7" top="0.75" bottom="0.75" header="0.3" footer="0.3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4:W59"/>
  <sheetViews>
    <sheetView topLeftCell="C1" workbookViewId="0">
      <selection activeCell="C1" sqref="C1"/>
    </sheetView>
  </sheetViews>
  <sheetFormatPr defaultColWidth="5.1796875" defaultRowHeight="12.75" customHeight="1"/>
  <cols>
    <col min="1" max="1" width="5.1796875" style="256"/>
    <col min="2" max="2" width="17.7265625" style="256" customWidth="1"/>
    <col min="3" max="3" width="5.1796875" style="256"/>
    <col min="4" max="4" width="15.54296875" style="256" customWidth="1"/>
    <col min="5" max="5" width="4.36328125" style="256" customWidth="1"/>
    <col min="6" max="6" width="15.54296875" style="256" customWidth="1"/>
    <col min="7" max="7" width="8.26953125" style="256" customWidth="1"/>
    <col min="8" max="8" width="15.54296875" style="256" customWidth="1"/>
    <col min="9" max="9" width="6.1796875" style="256" customWidth="1"/>
    <col min="10" max="10" width="15.54296875" style="256" customWidth="1"/>
    <col min="11" max="11" width="8.453125" style="256" customWidth="1"/>
    <col min="12" max="12" width="4.81640625" style="256" customWidth="1"/>
    <col min="13" max="18" width="5.1796875" style="256"/>
    <col min="19" max="20" width="5.453125" style="256" bestFit="1" customWidth="1"/>
    <col min="21" max="257" width="5.1796875" style="256"/>
    <col min="258" max="258" width="17.7265625" style="256" customWidth="1"/>
    <col min="259" max="259" width="5.1796875" style="256"/>
    <col min="260" max="260" width="15.54296875" style="256" customWidth="1"/>
    <col min="261" max="261" width="4.36328125" style="256" customWidth="1"/>
    <col min="262" max="262" width="15.54296875" style="256" customWidth="1"/>
    <col min="263" max="263" width="8.26953125" style="256" customWidth="1"/>
    <col min="264" max="264" width="15.54296875" style="256" customWidth="1"/>
    <col min="265" max="265" width="6.1796875" style="256" customWidth="1"/>
    <col min="266" max="266" width="15.54296875" style="256" customWidth="1"/>
    <col min="267" max="267" width="8.453125" style="256" customWidth="1"/>
    <col min="268" max="268" width="4.81640625" style="256" customWidth="1"/>
    <col min="269" max="513" width="5.1796875" style="256"/>
    <col min="514" max="514" width="17.7265625" style="256" customWidth="1"/>
    <col min="515" max="515" width="5.1796875" style="256"/>
    <col min="516" max="516" width="15.54296875" style="256" customWidth="1"/>
    <col min="517" max="517" width="4.36328125" style="256" customWidth="1"/>
    <col min="518" max="518" width="15.54296875" style="256" customWidth="1"/>
    <col min="519" max="519" width="8.26953125" style="256" customWidth="1"/>
    <col min="520" max="520" width="15.54296875" style="256" customWidth="1"/>
    <col min="521" max="521" width="6.1796875" style="256" customWidth="1"/>
    <col min="522" max="522" width="15.54296875" style="256" customWidth="1"/>
    <col min="523" max="523" width="8.453125" style="256" customWidth="1"/>
    <col min="524" max="524" width="4.81640625" style="256" customWidth="1"/>
    <col min="525" max="769" width="5.1796875" style="256"/>
    <col min="770" max="770" width="17.7265625" style="256" customWidth="1"/>
    <col min="771" max="771" width="5.1796875" style="256"/>
    <col min="772" max="772" width="15.54296875" style="256" customWidth="1"/>
    <col min="773" max="773" width="4.36328125" style="256" customWidth="1"/>
    <col min="774" max="774" width="15.54296875" style="256" customWidth="1"/>
    <col min="775" max="775" width="8.26953125" style="256" customWidth="1"/>
    <col min="776" max="776" width="15.54296875" style="256" customWidth="1"/>
    <col min="777" max="777" width="6.1796875" style="256" customWidth="1"/>
    <col min="778" max="778" width="15.54296875" style="256" customWidth="1"/>
    <col min="779" max="779" width="8.453125" style="256" customWidth="1"/>
    <col min="780" max="780" width="4.81640625" style="256" customWidth="1"/>
    <col min="781" max="1025" width="5.1796875" style="256"/>
    <col min="1026" max="1026" width="17.7265625" style="256" customWidth="1"/>
    <col min="1027" max="1027" width="5.1796875" style="256"/>
    <col min="1028" max="1028" width="15.54296875" style="256" customWidth="1"/>
    <col min="1029" max="1029" width="4.36328125" style="256" customWidth="1"/>
    <col min="1030" max="1030" width="15.54296875" style="256" customWidth="1"/>
    <col min="1031" max="1031" width="8.26953125" style="256" customWidth="1"/>
    <col min="1032" max="1032" width="15.54296875" style="256" customWidth="1"/>
    <col min="1033" max="1033" width="6.1796875" style="256" customWidth="1"/>
    <col min="1034" max="1034" width="15.54296875" style="256" customWidth="1"/>
    <col min="1035" max="1035" width="8.453125" style="256" customWidth="1"/>
    <col min="1036" max="1036" width="4.81640625" style="256" customWidth="1"/>
    <col min="1037" max="1281" width="5.1796875" style="256"/>
    <col min="1282" max="1282" width="17.7265625" style="256" customWidth="1"/>
    <col min="1283" max="1283" width="5.1796875" style="256"/>
    <col min="1284" max="1284" width="15.54296875" style="256" customWidth="1"/>
    <col min="1285" max="1285" width="4.36328125" style="256" customWidth="1"/>
    <col min="1286" max="1286" width="15.54296875" style="256" customWidth="1"/>
    <col min="1287" max="1287" width="8.26953125" style="256" customWidth="1"/>
    <col min="1288" max="1288" width="15.54296875" style="256" customWidth="1"/>
    <col min="1289" max="1289" width="6.1796875" style="256" customWidth="1"/>
    <col min="1290" max="1290" width="15.54296875" style="256" customWidth="1"/>
    <col min="1291" max="1291" width="8.453125" style="256" customWidth="1"/>
    <col min="1292" max="1292" width="4.81640625" style="256" customWidth="1"/>
    <col min="1293" max="1537" width="5.1796875" style="256"/>
    <col min="1538" max="1538" width="17.7265625" style="256" customWidth="1"/>
    <col min="1539" max="1539" width="5.1796875" style="256"/>
    <col min="1540" max="1540" width="15.54296875" style="256" customWidth="1"/>
    <col min="1541" max="1541" width="4.36328125" style="256" customWidth="1"/>
    <col min="1542" max="1542" width="15.54296875" style="256" customWidth="1"/>
    <col min="1543" max="1543" width="8.26953125" style="256" customWidth="1"/>
    <col min="1544" max="1544" width="15.54296875" style="256" customWidth="1"/>
    <col min="1545" max="1545" width="6.1796875" style="256" customWidth="1"/>
    <col min="1546" max="1546" width="15.54296875" style="256" customWidth="1"/>
    <col min="1547" max="1547" width="8.453125" style="256" customWidth="1"/>
    <col min="1548" max="1548" width="4.81640625" style="256" customWidth="1"/>
    <col min="1549" max="1793" width="5.1796875" style="256"/>
    <col min="1794" max="1794" width="17.7265625" style="256" customWidth="1"/>
    <col min="1795" max="1795" width="5.1796875" style="256"/>
    <col min="1796" max="1796" width="15.54296875" style="256" customWidth="1"/>
    <col min="1797" max="1797" width="4.36328125" style="256" customWidth="1"/>
    <col min="1798" max="1798" width="15.54296875" style="256" customWidth="1"/>
    <col min="1799" max="1799" width="8.26953125" style="256" customWidth="1"/>
    <col min="1800" max="1800" width="15.54296875" style="256" customWidth="1"/>
    <col min="1801" max="1801" width="6.1796875" style="256" customWidth="1"/>
    <col min="1802" max="1802" width="15.54296875" style="256" customWidth="1"/>
    <col min="1803" max="1803" width="8.453125" style="256" customWidth="1"/>
    <col min="1804" max="1804" width="4.81640625" style="256" customWidth="1"/>
    <col min="1805" max="2049" width="5.1796875" style="256"/>
    <col min="2050" max="2050" width="17.7265625" style="256" customWidth="1"/>
    <col min="2051" max="2051" width="5.1796875" style="256"/>
    <col min="2052" max="2052" width="15.54296875" style="256" customWidth="1"/>
    <col min="2053" max="2053" width="4.36328125" style="256" customWidth="1"/>
    <col min="2054" max="2054" width="15.54296875" style="256" customWidth="1"/>
    <col min="2055" max="2055" width="8.26953125" style="256" customWidth="1"/>
    <col min="2056" max="2056" width="15.54296875" style="256" customWidth="1"/>
    <col min="2057" max="2057" width="6.1796875" style="256" customWidth="1"/>
    <col min="2058" max="2058" width="15.54296875" style="256" customWidth="1"/>
    <col min="2059" max="2059" width="8.453125" style="256" customWidth="1"/>
    <col min="2060" max="2060" width="4.81640625" style="256" customWidth="1"/>
    <col min="2061" max="2305" width="5.1796875" style="256"/>
    <col min="2306" max="2306" width="17.7265625" style="256" customWidth="1"/>
    <col min="2307" max="2307" width="5.1796875" style="256"/>
    <col min="2308" max="2308" width="15.54296875" style="256" customWidth="1"/>
    <col min="2309" max="2309" width="4.36328125" style="256" customWidth="1"/>
    <col min="2310" max="2310" width="15.54296875" style="256" customWidth="1"/>
    <col min="2311" max="2311" width="8.26953125" style="256" customWidth="1"/>
    <col min="2312" max="2312" width="15.54296875" style="256" customWidth="1"/>
    <col min="2313" max="2313" width="6.1796875" style="256" customWidth="1"/>
    <col min="2314" max="2314" width="15.54296875" style="256" customWidth="1"/>
    <col min="2315" max="2315" width="8.453125" style="256" customWidth="1"/>
    <col min="2316" max="2316" width="4.81640625" style="256" customWidth="1"/>
    <col min="2317" max="2561" width="5.1796875" style="256"/>
    <col min="2562" max="2562" width="17.7265625" style="256" customWidth="1"/>
    <col min="2563" max="2563" width="5.1796875" style="256"/>
    <col min="2564" max="2564" width="15.54296875" style="256" customWidth="1"/>
    <col min="2565" max="2565" width="4.36328125" style="256" customWidth="1"/>
    <col min="2566" max="2566" width="15.54296875" style="256" customWidth="1"/>
    <col min="2567" max="2567" width="8.26953125" style="256" customWidth="1"/>
    <col min="2568" max="2568" width="15.54296875" style="256" customWidth="1"/>
    <col min="2569" max="2569" width="6.1796875" style="256" customWidth="1"/>
    <col min="2570" max="2570" width="15.54296875" style="256" customWidth="1"/>
    <col min="2571" max="2571" width="8.453125" style="256" customWidth="1"/>
    <col min="2572" max="2572" width="4.81640625" style="256" customWidth="1"/>
    <col min="2573" max="2817" width="5.1796875" style="256"/>
    <col min="2818" max="2818" width="17.7265625" style="256" customWidth="1"/>
    <col min="2819" max="2819" width="5.1796875" style="256"/>
    <col min="2820" max="2820" width="15.54296875" style="256" customWidth="1"/>
    <col min="2821" max="2821" width="4.36328125" style="256" customWidth="1"/>
    <col min="2822" max="2822" width="15.54296875" style="256" customWidth="1"/>
    <col min="2823" max="2823" width="8.26953125" style="256" customWidth="1"/>
    <col min="2824" max="2824" width="15.54296875" style="256" customWidth="1"/>
    <col min="2825" max="2825" width="6.1796875" style="256" customWidth="1"/>
    <col min="2826" max="2826" width="15.54296875" style="256" customWidth="1"/>
    <col min="2827" max="2827" width="8.453125" style="256" customWidth="1"/>
    <col min="2828" max="2828" width="4.81640625" style="256" customWidth="1"/>
    <col min="2829" max="3073" width="5.1796875" style="256"/>
    <col min="3074" max="3074" width="17.7265625" style="256" customWidth="1"/>
    <col min="3075" max="3075" width="5.1796875" style="256"/>
    <col min="3076" max="3076" width="15.54296875" style="256" customWidth="1"/>
    <col min="3077" max="3077" width="4.36328125" style="256" customWidth="1"/>
    <col min="3078" max="3078" width="15.54296875" style="256" customWidth="1"/>
    <col min="3079" max="3079" width="8.26953125" style="256" customWidth="1"/>
    <col min="3080" max="3080" width="15.54296875" style="256" customWidth="1"/>
    <col min="3081" max="3081" width="6.1796875" style="256" customWidth="1"/>
    <col min="3082" max="3082" width="15.54296875" style="256" customWidth="1"/>
    <col min="3083" max="3083" width="8.453125" style="256" customWidth="1"/>
    <col min="3084" max="3084" width="4.81640625" style="256" customWidth="1"/>
    <col min="3085" max="3329" width="5.1796875" style="256"/>
    <col min="3330" max="3330" width="17.7265625" style="256" customWidth="1"/>
    <col min="3331" max="3331" width="5.1796875" style="256"/>
    <col min="3332" max="3332" width="15.54296875" style="256" customWidth="1"/>
    <col min="3333" max="3333" width="4.36328125" style="256" customWidth="1"/>
    <col min="3334" max="3334" width="15.54296875" style="256" customWidth="1"/>
    <col min="3335" max="3335" width="8.26953125" style="256" customWidth="1"/>
    <col min="3336" max="3336" width="15.54296875" style="256" customWidth="1"/>
    <col min="3337" max="3337" width="6.1796875" style="256" customWidth="1"/>
    <col min="3338" max="3338" width="15.54296875" style="256" customWidth="1"/>
    <col min="3339" max="3339" width="8.453125" style="256" customWidth="1"/>
    <col min="3340" max="3340" width="4.81640625" style="256" customWidth="1"/>
    <col min="3341" max="3585" width="5.1796875" style="256"/>
    <col min="3586" max="3586" width="17.7265625" style="256" customWidth="1"/>
    <col min="3587" max="3587" width="5.1796875" style="256"/>
    <col min="3588" max="3588" width="15.54296875" style="256" customWidth="1"/>
    <col min="3589" max="3589" width="4.36328125" style="256" customWidth="1"/>
    <col min="3590" max="3590" width="15.54296875" style="256" customWidth="1"/>
    <col min="3591" max="3591" width="8.26953125" style="256" customWidth="1"/>
    <col min="3592" max="3592" width="15.54296875" style="256" customWidth="1"/>
    <col min="3593" max="3593" width="6.1796875" style="256" customWidth="1"/>
    <col min="3594" max="3594" width="15.54296875" style="256" customWidth="1"/>
    <col min="3595" max="3595" width="8.453125" style="256" customWidth="1"/>
    <col min="3596" max="3596" width="4.81640625" style="256" customWidth="1"/>
    <col min="3597" max="3841" width="5.1796875" style="256"/>
    <col min="3842" max="3842" width="17.7265625" style="256" customWidth="1"/>
    <col min="3843" max="3843" width="5.1796875" style="256"/>
    <col min="3844" max="3844" width="15.54296875" style="256" customWidth="1"/>
    <col min="3845" max="3845" width="4.36328125" style="256" customWidth="1"/>
    <col min="3846" max="3846" width="15.54296875" style="256" customWidth="1"/>
    <col min="3847" max="3847" width="8.26953125" style="256" customWidth="1"/>
    <col min="3848" max="3848" width="15.54296875" style="256" customWidth="1"/>
    <col min="3849" max="3849" width="6.1796875" style="256" customWidth="1"/>
    <col min="3850" max="3850" width="15.54296875" style="256" customWidth="1"/>
    <col min="3851" max="3851" width="8.453125" style="256" customWidth="1"/>
    <col min="3852" max="3852" width="4.81640625" style="256" customWidth="1"/>
    <col min="3853" max="4097" width="5.1796875" style="256"/>
    <col min="4098" max="4098" width="17.7265625" style="256" customWidth="1"/>
    <col min="4099" max="4099" width="5.1796875" style="256"/>
    <col min="4100" max="4100" width="15.54296875" style="256" customWidth="1"/>
    <col min="4101" max="4101" width="4.36328125" style="256" customWidth="1"/>
    <col min="4102" max="4102" width="15.54296875" style="256" customWidth="1"/>
    <col min="4103" max="4103" width="8.26953125" style="256" customWidth="1"/>
    <col min="4104" max="4104" width="15.54296875" style="256" customWidth="1"/>
    <col min="4105" max="4105" width="6.1796875" style="256" customWidth="1"/>
    <col min="4106" max="4106" width="15.54296875" style="256" customWidth="1"/>
    <col min="4107" max="4107" width="8.453125" style="256" customWidth="1"/>
    <col min="4108" max="4108" width="4.81640625" style="256" customWidth="1"/>
    <col min="4109" max="4353" width="5.1796875" style="256"/>
    <col min="4354" max="4354" width="17.7265625" style="256" customWidth="1"/>
    <col min="4355" max="4355" width="5.1796875" style="256"/>
    <col min="4356" max="4356" width="15.54296875" style="256" customWidth="1"/>
    <col min="4357" max="4357" width="4.36328125" style="256" customWidth="1"/>
    <col min="4358" max="4358" width="15.54296875" style="256" customWidth="1"/>
    <col min="4359" max="4359" width="8.26953125" style="256" customWidth="1"/>
    <col min="4360" max="4360" width="15.54296875" style="256" customWidth="1"/>
    <col min="4361" max="4361" width="6.1796875" style="256" customWidth="1"/>
    <col min="4362" max="4362" width="15.54296875" style="256" customWidth="1"/>
    <col min="4363" max="4363" width="8.453125" style="256" customWidth="1"/>
    <col min="4364" max="4364" width="4.81640625" style="256" customWidth="1"/>
    <col min="4365" max="4609" width="5.1796875" style="256"/>
    <col min="4610" max="4610" width="17.7265625" style="256" customWidth="1"/>
    <col min="4611" max="4611" width="5.1796875" style="256"/>
    <col min="4612" max="4612" width="15.54296875" style="256" customWidth="1"/>
    <col min="4613" max="4613" width="4.36328125" style="256" customWidth="1"/>
    <col min="4614" max="4614" width="15.54296875" style="256" customWidth="1"/>
    <col min="4615" max="4615" width="8.26953125" style="256" customWidth="1"/>
    <col min="4616" max="4616" width="15.54296875" style="256" customWidth="1"/>
    <col min="4617" max="4617" width="6.1796875" style="256" customWidth="1"/>
    <col min="4618" max="4618" width="15.54296875" style="256" customWidth="1"/>
    <col min="4619" max="4619" width="8.453125" style="256" customWidth="1"/>
    <col min="4620" max="4620" width="4.81640625" style="256" customWidth="1"/>
    <col min="4621" max="4865" width="5.1796875" style="256"/>
    <col min="4866" max="4866" width="17.7265625" style="256" customWidth="1"/>
    <col min="4867" max="4867" width="5.1796875" style="256"/>
    <col min="4868" max="4868" width="15.54296875" style="256" customWidth="1"/>
    <col min="4869" max="4869" width="4.36328125" style="256" customWidth="1"/>
    <col min="4870" max="4870" width="15.54296875" style="256" customWidth="1"/>
    <col min="4871" max="4871" width="8.26953125" style="256" customWidth="1"/>
    <col min="4872" max="4872" width="15.54296875" style="256" customWidth="1"/>
    <col min="4873" max="4873" width="6.1796875" style="256" customWidth="1"/>
    <col min="4874" max="4874" width="15.54296875" style="256" customWidth="1"/>
    <col min="4875" max="4875" width="8.453125" style="256" customWidth="1"/>
    <col min="4876" max="4876" width="4.81640625" style="256" customWidth="1"/>
    <col min="4877" max="5121" width="5.1796875" style="256"/>
    <col min="5122" max="5122" width="17.7265625" style="256" customWidth="1"/>
    <col min="5123" max="5123" width="5.1796875" style="256"/>
    <col min="5124" max="5124" width="15.54296875" style="256" customWidth="1"/>
    <col min="5125" max="5125" width="4.36328125" style="256" customWidth="1"/>
    <col min="5126" max="5126" width="15.54296875" style="256" customWidth="1"/>
    <col min="5127" max="5127" width="8.26953125" style="256" customWidth="1"/>
    <col min="5128" max="5128" width="15.54296875" style="256" customWidth="1"/>
    <col min="5129" max="5129" width="6.1796875" style="256" customWidth="1"/>
    <col min="5130" max="5130" width="15.54296875" style="256" customWidth="1"/>
    <col min="5131" max="5131" width="8.453125" style="256" customWidth="1"/>
    <col min="5132" max="5132" width="4.81640625" style="256" customWidth="1"/>
    <col min="5133" max="5377" width="5.1796875" style="256"/>
    <col min="5378" max="5378" width="17.7265625" style="256" customWidth="1"/>
    <col min="5379" max="5379" width="5.1796875" style="256"/>
    <col min="5380" max="5380" width="15.54296875" style="256" customWidth="1"/>
    <col min="5381" max="5381" width="4.36328125" style="256" customWidth="1"/>
    <col min="5382" max="5382" width="15.54296875" style="256" customWidth="1"/>
    <col min="5383" max="5383" width="8.26953125" style="256" customWidth="1"/>
    <col min="5384" max="5384" width="15.54296875" style="256" customWidth="1"/>
    <col min="5385" max="5385" width="6.1796875" style="256" customWidth="1"/>
    <col min="5386" max="5386" width="15.54296875" style="256" customWidth="1"/>
    <col min="5387" max="5387" width="8.453125" style="256" customWidth="1"/>
    <col min="5388" max="5388" width="4.81640625" style="256" customWidth="1"/>
    <col min="5389" max="5633" width="5.1796875" style="256"/>
    <col min="5634" max="5634" width="17.7265625" style="256" customWidth="1"/>
    <col min="5635" max="5635" width="5.1796875" style="256"/>
    <col min="5636" max="5636" width="15.54296875" style="256" customWidth="1"/>
    <col min="5637" max="5637" width="4.36328125" style="256" customWidth="1"/>
    <col min="5638" max="5638" width="15.54296875" style="256" customWidth="1"/>
    <col min="5639" max="5639" width="8.26953125" style="256" customWidth="1"/>
    <col min="5640" max="5640" width="15.54296875" style="256" customWidth="1"/>
    <col min="5641" max="5641" width="6.1796875" style="256" customWidth="1"/>
    <col min="5642" max="5642" width="15.54296875" style="256" customWidth="1"/>
    <col min="5643" max="5643" width="8.453125" style="256" customWidth="1"/>
    <col min="5644" max="5644" width="4.81640625" style="256" customWidth="1"/>
    <col min="5645" max="5889" width="5.1796875" style="256"/>
    <col min="5890" max="5890" width="17.7265625" style="256" customWidth="1"/>
    <col min="5891" max="5891" width="5.1796875" style="256"/>
    <col min="5892" max="5892" width="15.54296875" style="256" customWidth="1"/>
    <col min="5893" max="5893" width="4.36328125" style="256" customWidth="1"/>
    <col min="5894" max="5894" width="15.54296875" style="256" customWidth="1"/>
    <col min="5895" max="5895" width="8.26953125" style="256" customWidth="1"/>
    <col min="5896" max="5896" width="15.54296875" style="256" customWidth="1"/>
    <col min="5897" max="5897" width="6.1796875" style="256" customWidth="1"/>
    <col min="5898" max="5898" width="15.54296875" style="256" customWidth="1"/>
    <col min="5899" max="5899" width="8.453125" style="256" customWidth="1"/>
    <col min="5900" max="5900" width="4.81640625" style="256" customWidth="1"/>
    <col min="5901" max="6145" width="5.1796875" style="256"/>
    <col min="6146" max="6146" width="17.7265625" style="256" customWidth="1"/>
    <col min="6147" max="6147" width="5.1796875" style="256"/>
    <col min="6148" max="6148" width="15.54296875" style="256" customWidth="1"/>
    <col min="6149" max="6149" width="4.36328125" style="256" customWidth="1"/>
    <col min="6150" max="6150" width="15.54296875" style="256" customWidth="1"/>
    <col min="6151" max="6151" width="8.26953125" style="256" customWidth="1"/>
    <col min="6152" max="6152" width="15.54296875" style="256" customWidth="1"/>
    <col min="6153" max="6153" width="6.1796875" style="256" customWidth="1"/>
    <col min="6154" max="6154" width="15.54296875" style="256" customWidth="1"/>
    <col min="6155" max="6155" width="8.453125" style="256" customWidth="1"/>
    <col min="6156" max="6156" width="4.81640625" style="256" customWidth="1"/>
    <col min="6157" max="6401" width="5.1796875" style="256"/>
    <col min="6402" max="6402" width="17.7265625" style="256" customWidth="1"/>
    <col min="6403" max="6403" width="5.1796875" style="256"/>
    <col min="6404" max="6404" width="15.54296875" style="256" customWidth="1"/>
    <col min="6405" max="6405" width="4.36328125" style="256" customWidth="1"/>
    <col min="6406" max="6406" width="15.54296875" style="256" customWidth="1"/>
    <col min="6407" max="6407" width="8.26953125" style="256" customWidth="1"/>
    <col min="6408" max="6408" width="15.54296875" style="256" customWidth="1"/>
    <col min="6409" max="6409" width="6.1796875" style="256" customWidth="1"/>
    <col min="6410" max="6410" width="15.54296875" style="256" customWidth="1"/>
    <col min="6411" max="6411" width="8.453125" style="256" customWidth="1"/>
    <col min="6412" max="6412" width="4.81640625" style="256" customWidth="1"/>
    <col min="6413" max="6657" width="5.1796875" style="256"/>
    <col min="6658" max="6658" width="17.7265625" style="256" customWidth="1"/>
    <col min="6659" max="6659" width="5.1796875" style="256"/>
    <col min="6660" max="6660" width="15.54296875" style="256" customWidth="1"/>
    <col min="6661" max="6661" width="4.36328125" style="256" customWidth="1"/>
    <col min="6662" max="6662" width="15.54296875" style="256" customWidth="1"/>
    <col min="6663" max="6663" width="8.26953125" style="256" customWidth="1"/>
    <col min="6664" max="6664" width="15.54296875" style="256" customWidth="1"/>
    <col min="6665" max="6665" width="6.1796875" style="256" customWidth="1"/>
    <col min="6666" max="6666" width="15.54296875" style="256" customWidth="1"/>
    <col min="6667" max="6667" width="8.453125" style="256" customWidth="1"/>
    <col min="6668" max="6668" width="4.81640625" style="256" customWidth="1"/>
    <col min="6669" max="6913" width="5.1796875" style="256"/>
    <col min="6914" max="6914" width="17.7265625" style="256" customWidth="1"/>
    <col min="6915" max="6915" width="5.1796875" style="256"/>
    <col min="6916" max="6916" width="15.54296875" style="256" customWidth="1"/>
    <col min="6917" max="6917" width="4.36328125" style="256" customWidth="1"/>
    <col min="6918" max="6918" width="15.54296875" style="256" customWidth="1"/>
    <col min="6919" max="6919" width="8.26953125" style="256" customWidth="1"/>
    <col min="6920" max="6920" width="15.54296875" style="256" customWidth="1"/>
    <col min="6921" max="6921" width="6.1796875" style="256" customWidth="1"/>
    <col min="6922" max="6922" width="15.54296875" style="256" customWidth="1"/>
    <col min="6923" max="6923" width="8.453125" style="256" customWidth="1"/>
    <col min="6924" max="6924" width="4.81640625" style="256" customWidth="1"/>
    <col min="6925" max="7169" width="5.1796875" style="256"/>
    <col min="7170" max="7170" width="17.7265625" style="256" customWidth="1"/>
    <col min="7171" max="7171" width="5.1796875" style="256"/>
    <col min="7172" max="7172" width="15.54296875" style="256" customWidth="1"/>
    <col min="7173" max="7173" width="4.36328125" style="256" customWidth="1"/>
    <col min="7174" max="7174" width="15.54296875" style="256" customWidth="1"/>
    <col min="7175" max="7175" width="8.26953125" style="256" customWidth="1"/>
    <col min="7176" max="7176" width="15.54296875" style="256" customWidth="1"/>
    <col min="7177" max="7177" width="6.1796875" style="256" customWidth="1"/>
    <col min="7178" max="7178" width="15.54296875" style="256" customWidth="1"/>
    <col min="7179" max="7179" width="8.453125" style="256" customWidth="1"/>
    <col min="7180" max="7180" width="4.81640625" style="256" customWidth="1"/>
    <col min="7181" max="7425" width="5.1796875" style="256"/>
    <col min="7426" max="7426" width="17.7265625" style="256" customWidth="1"/>
    <col min="7427" max="7427" width="5.1796875" style="256"/>
    <col min="7428" max="7428" width="15.54296875" style="256" customWidth="1"/>
    <col min="7429" max="7429" width="4.36328125" style="256" customWidth="1"/>
    <col min="7430" max="7430" width="15.54296875" style="256" customWidth="1"/>
    <col min="7431" max="7431" width="8.26953125" style="256" customWidth="1"/>
    <col min="7432" max="7432" width="15.54296875" style="256" customWidth="1"/>
    <col min="7433" max="7433" width="6.1796875" style="256" customWidth="1"/>
    <col min="7434" max="7434" width="15.54296875" style="256" customWidth="1"/>
    <col min="7435" max="7435" width="8.453125" style="256" customWidth="1"/>
    <col min="7436" max="7436" width="4.81640625" style="256" customWidth="1"/>
    <col min="7437" max="7681" width="5.1796875" style="256"/>
    <col min="7682" max="7682" width="17.7265625" style="256" customWidth="1"/>
    <col min="7683" max="7683" width="5.1796875" style="256"/>
    <col min="7684" max="7684" width="15.54296875" style="256" customWidth="1"/>
    <col min="7685" max="7685" width="4.36328125" style="256" customWidth="1"/>
    <col min="7686" max="7686" width="15.54296875" style="256" customWidth="1"/>
    <col min="7687" max="7687" width="8.26953125" style="256" customWidth="1"/>
    <col min="7688" max="7688" width="15.54296875" style="256" customWidth="1"/>
    <col min="7689" max="7689" width="6.1796875" style="256" customWidth="1"/>
    <col min="7690" max="7690" width="15.54296875" style="256" customWidth="1"/>
    <col min="7691" max="7691" width="8.453125" style="256" customWidth="1"/>
    <col min="7692" max="7692" width="4.81640625" style="256" customWidth="1"/>
    <col min="7693" max="7937" width="5.1796875" style="256"/>
    <col min="7938" max="7938" width="17.7265625" style="256" customWidth="1"/>
    <col min="7939" max="7939" width="5.1796875" style="256"/>
    <col min="7940" max="7940" width="15.54296875" style="256" customWidth="1"/>
    <col min="7941" max="7941" width="4.36328125" style="256" customWidth="1"/>
    <col min="7942" max="7942" width="15.54296875" style="256" customWidth="1"/>
    <col min="7943" max="7943" width="8.26953125" style="256" customWidth="1"/>
    <col min="7944" max="7944" width="15.54296875" style="256" customWidth="1"/>
    <col min="7945" max="7945" width="6.1796875" style="256" customWidth="1"/>
    <col min="7946" max="7946" width="15.54296875" style="256" customWidth="1"/>
    <col min="7947" max="7947" width="8.453125" style="256" customWidth="1"/>
    <col min="7948" max="7948" width="4.81640625" style="256" customWidth="1"/>
    <col min="7949" max="8193" width="5.1796875" style="256"/>
    <col min="8194" max="8194" width="17.7265625" style="256" customWidth="1"/>
    <col min="8195" max="8195" width="5.1796875" style="256"/>
    <col min="8196" max="8196" width="15.54296875" style="256" customWidth="1"/>
    <col min="8197" max="8197" width="4.36328125" style="256" customWidth="1"/>
    <col min="8198" max="8198" width="15.54296875" style="256" customWidth="1"/>
    <col min="8199" max="8199" width="8.26953125" style="256" customWidth="1"/>
    <col min="8200" max="8200" width="15.54296875" style="256" customWidth="1"/>
    <col min="8201" max="8201" width="6.1796875" style="256" customWidth="1"/>
    <col min="8202" max="8202" width="15.54296875" style="256" customWidth="1"/>
    <col min="8203" max="8203" width="8.453125" style="256" customWidth="1"/>
    <col min="8204" max="8204" width="4.81640625" style="256" customWidth="1"/>
    <col min="8205" max="8449" width="5.1796875" style="256"/>
    <col min="8450" max="8450" width="17.7265625" style="256" customWidth="1"/>
    <col min="8451" max="8451" width="5.1796875" style="256"/>
    <col min="8452" max="8452" width="15.54296875" style="256" customWidth="1"/>
    <col min="8453" max="8453" width="4.36328125" style="256" customWidth="1"/>
    <col min="8454" max="8454" width="15.54296875" style="256" customWidth="1"/>
    <col min="8455" max="8455" width="8.26953125" style="256" customWidth="1"/>
    <col min="8456" max="8456" width="15.54296875" style="256" customWidth="1"/>
    <col min="8457" max="8457" width="6.1796875" style="256" customWidth="1"/>
    <col min="8458" max="8458" width="15.54296875" style="256" customWidth="1"/>
    <col min="8459" max="8459" width="8.453125" style="256" customWidth="1"/>
    <col min="8460" max="8460" width="4.81640625" style="256" customWidth="1"/>
    <col min="8461" max="8705" width="5.1796875" style="256"/>
    <col min="8706" max="8706" width="17.7265625" style="256" customWidth="1"/>
    <col min="8707" max="8707" width="5.1796875" style="256"/>
    <col min="8708" max="8708" width="15.54296875" style="256" customWidth="1"/>
    <col min="8709" max="8709" width="4.36328125" style="256" customWidth="1"/>
    <col min="8710" max="8710" width="15.54296875" style="256" customWidth="1"/>
    <col min="8711" max="8711" width="8.26953125" style="256" customWidth="1"/>
    <col min="8712" max="8712" width="15.54296875" style="256" customWidth="1"/>
    <col min="8713" max="8713" width="6.1796875" style="256" customWidth="1"/>
    <col min="8714" max="8714" width="15.54296875" style="256" customWidth="1"/>
    <col min="8715" max="8715" width="8.453125" style="256" customWidth="1"/>
    <col min="8716" max="8716" width="4.81640625" style="256" customWidth="1"/>
    <col min="8717" max="8961" width="5.1796875" style="256"/>
    <col min="8962" max="8962" width="17.7265625" style="256" customWidth="1"/>
    <col min="8963" max="8963" width="5.1796875" style="256"/>
    <col min="8964" max="8964" width="15.54296875" style="256" customWidth="1"/>
    <col min="8965" max="8965" width="4.36328125" style="256" customWidth="1"/>
    <col min="8966" max="8966" width="15.54296875" style="256" customWidth="1"/>
    <col min="8967" max="8967" width="8.26953125" style="256" customWidth="1"/>
    <col min="8968" max="8968" width="15.54296875" style="256" customWidth="1"/>
    <col min="8969" max="8969" width="6.1796875" style="256" customWidth="1"/>
    <col min="8970" max="8970" width="15.54296875" style="256" customWidth="1"/>
    <col min="8971" max="8971" width="8.453125" style="256" customWidth="1"/>
    <col min="8972" max="8972" width="4.81640625" style="256" customWidth="1"/>
    <col min="8973" max="9217" width="5.1796875" style="256"/>
    <col min="9218" max="9218" width="17.7265625" style="256" customWidth="1"/>
    <col min="9219" max="9219" width="5.1796875" style="256"/>
    <col min="9220" max="9220" width="15.54296875" style="256" customWidth="1"/>
    <col min="9221" max="9221" width="4.36328125" style="256" customWidth="1"/>
    <col min="9222" max="9222" width="15.54296875" style="256" customWidth="1"/>
    <col min="9223" max="9223" width="8.26953125" style="256" customWidth="1"/>
    <col min="9224" max="9224" width="15.54296875" style="256" customWidth="1"/>
    <col min="9225" max="9225" width="6.1796875" style="256" customWidth="1"/>
    <col min="9226" max="9226" width="15.54296875" style="256" customWidth="1"/>
    <col min="9227" max="9227" width="8.453125" style="256" customWidth="1"/>
    <col min="9228" max="9228" width="4.81640625" style="256" customWidth="1"/>
    <col min="9229" max="9473" width="5.1796875" style="256"/>
    <col min="9474" max="9474" width="17.7265625" style="256" customWidth="1"/>
    <col min="9475" max="9475" width="5.1796875" style="256"/>
    <col min="9476" max="9476" width="15.54296875" style="256" customWidth="1"/>
    <col min="9477" max="9477" width="4.36328125" style="256" customWidth="1"/>
    <col min="9478" max="9478" width="15.54296875" style="256" customWidth="1"/>
    <col min="9479" max="9479" width="8.26953125" style="256" customWidth="1"/>
    <col min="9480" max="9480" width="15.54296875" style="256" customWidth="1"/>
    <col min="9481" max="9481" width="6.1796875" style="256" customWidth="1"/>
    <col min="9482" max="9482" width="15.54296875" style="256" customWidth="1"/>
    <col min="9483" max="9483" width="8.453125" style="256" customWidth="1"/>
    <col min="9484" max="9484" width="4.81640625" style="256" customWidth="1"/>
    <col min="9485" max="9729" width="5.1796875" style="256"/>
    <col min="9730" max="9730" width="17.7265625" style="256" customWidth="1"/>
    <col min="9731" max="9731" width="5.1796875" style="256"/>
    <col min="9732" max="9732" width="15.54296875" style="256" customWidth="1"/>
    <col min="9733" max="9733" width="4.36328125" style="256" customWidth="1"/>
    <col min="9734" max="9734" width="15.54296875" style="256" customWidth="1"/>
    <col min="9735" max="9735" width="8.26953125" style="256" customWidth="1"/>
    <col min="9736" max="9736" width="15.54296875" style="256" customWidth="1"/>
    <col min="9737" max="9737" width="6.1796875" style="256" customWidth="1"/>
    <col min="9738" max="9738" width="15.54296875" style="256" customWidth="1"/>
    <col min="9739" max="9739" width="8.453125" style="256" customWidth="1"/>
    <col min="9740" max="9740" width="4.81640625" style="256" customWidth="1"/>
    <col min="9741" max="9985" width="5.1796875" style="256"/>
    <col min="9986" max="9986" width="17.7265625" style="256" customWidth="1"/>
    <col min="9987" max="9987" width="5.1796875" style="256"/>
    <col min="9988" max="9988" width="15.54296875" style="256" customWidth="1"/>
    <col min="9989" max="9989" width="4.36328125" style="256" customWidth="1"/>
    <col min="9990" max="9990" width="15.54296875" style="256" customWidth="1"/>
    <col min="9991" max="9991" width="8.26953125" style="256" customWidth="1"/>
    <col min="9992" max="9992" width="15.54296875" style="256" customWidth="1"/>
    <col min="9993" max="9993" width="6.1796875" style="256" customWidth="1"/>
    <col min="9994" max="9994" width="15.54296875" style="256" customWidth="1"/>
    <col min="9995" max="9995" width="8.453125" style="256" customWidth="1"/>
    <col min="9996" max="9996" width="4.81640625" style="256" customWidth="1"/>
    <col min="9997" max="10241" width="5.1796875" style="256"/>
    <col min="10242" max="10242" width="17.7265625" style="256" customWidth="1"/>
    <col min="10243" max="10243" width="5.1796875" style="256"/>
    <col min="10244" max="10244" width="15.54296875" style="256" customWidth="1"/>
    <col min="10245" max="10245" width="4.36328125" style="256" customWidth="1"/>
    <col min="10246" max="10246" width="15.54296875" style="256" customWidth="1"/>
    <col min="10247" max="10247" width="8.26953125" style="256" customWidth="1"/>
    <col min="10248" max="10248" width="15.54296875" style="256" customWidth="1"/>
    <col min="10249" max="10249" width="6.1796875" style="256" customWidth="1"/>
    <col min="10250" max="10250" width="15.54296875" style="256" customWidth="1"/>
    <col min="10251" max="10251" width="8.453125" style="256" customWidth="1"/>
    <col min="10252" max="10252" width="4.81640625" style="256" customWidth="1"/>
    <col min="10253" max="10497" width="5.1796875" style="256"/>
    <col min="10498" max="10498" width="17.7265625" style="256" customWidth="1"/>
    <col min="10499" max="10499" width="5.1796875" style="256"/>
    <col min="10500" max="10500" width="15.54296875" style="256" customWidth="1"/>
    <col min="10501" max="10501" width="4.36328125" style="256" customWidth="1"/>
    <col min="10502" max="10502" width="15.54296875" style="256" customWidth="1"/>
    <col min="10503" max="10503" width="8.26953125" style="256" customWidth="1"/>
    <col min="10504" max="10504" width="15.54296875" style="256" customWidth="1"/>
    <col min="10505" max="10505" width="6.1796875" style="256" customWidth="1"/>
    <col min="10506" max="10506" width="15.54296875" style="256" customWidth="1"/>
    <col min="10507" max="10507" width="8.453125" style="256" customWidth="1"/>
    <col min="10508" max="10508" width="4.81640625" style="256" customWidth="1"/>
    <col min="10509" max="10753" width="5.1796875" style="256"/>
    <col min="10754" max="10754" width="17.7265625" style="256" customWidth="1"/>
    <col min="10755" max="10755" width="5.1796875" style="256"/>
    <col min="10756" max="10756" width="15.54296875" style="256" customWidth="1"/>
    <col min="10757" max="10757" width="4.36328125" style="256" customWidth="1"/>
    <col min="10758" max="10758" width="15.54296875" style="256" customWidth="1"/>
    <col min="10759" max="10759" width="8.26953125" style="256" customWidth="1"/>
    <col min="10760" max="10760" width="15.54296875" style="256" customWidth="1"/>
    <col min="10761" max="10761" width="6.1796875" style="256" customWidth="1"/>
    <col min="10762" max="10762" width="15.54296875" style="256" customWidth="1"/>
    <col min="10763" max="10763" width="8.453125" style="256" customWidth="1"/>
    <col min="10764" max="10764" width="4.81640625" style="256" customWidth="1"/>
    <col min="10765" max="11009" width="5.1796875" style="256"/>
    <col min="11010" max="11010" width="17.7265625" style="256" customWidth="1"/>
    <col min="11011" max="11011" width="5.1796875" style="256"/>
    <col min="11012" max="11012" width="15.54296875" style="256" customWidth="1"/>
    <col min="11013" max="11013" width="4.36328125" style="256" customWidth="1"/>
    <col min="11014" max="11014" width="15.54296875" style="256" customWidth="1"/>
    <col min="11015" max="11015" width="8.26953125" style="256" customWidth="1"/>
    <col min="11016" max="11016" width="15.54296875" style="256" customWidth="1"/>
    <col min="11017" max="11017" width="6.1796875" style="256" customWidth="1"/>
    <col min="11018" max="11018" width="15.54296875" style="256" customWidth="1"/>
    <col min="11019" max="11019" width="8.453125" style="256" customWidth="1"/>
    <col min="11020" max="11020" width="4.81640625" style="256" customWidth="1"/>
    <col min="11021" max="11265" width="5.1796875" style="256"/>
    <col min="11266" max="11266" width="17.7265625" style="256" customWidth="1"/>
    <col min="11267" max="11267" width="5.1796875" style="256"/>
    <col min="11268" max="11268" width="15.54296875" style="256" customWidth="1"/>
    <col min="11269" max="11269" width="4.36328125" style="256" customWidth="1"/>
    <col min="11270" max="11270" width="15.54296875" style="256" customWidth="1"/>
    <col min="11271" max="11271" width="8.26953125" style="256" customWidth="1"/>
    <col min="11272" max="11272" width="15.54296875" style="256" customWidth="1"/>
    <col min="11273" max="11273" width="6.1796875" style="256" customWidth="1"/>
    <col min="11274" max="11274" width="15.54296875" style="256" customWidth="1"/>
    <col min="11275" max="11275" width="8.453125" style="256" customWidth="1"/>
    <col min="11276" max="11276" width="4.81640625" style="256" customWidth="1"/>
    <col min="11277" max="11521" width="5.1796875" style="256"/>
    <col min="11522" max="11522" width="17.7265625" style="256" customWidth="1"/>
    <col min="11523" max="11523" width="5.1796875" style="256"/>
    <col min="11524" max="11524" width="15.54296875" style="256" customWidth="1"/>
    <col min="11525" max="11525" width="4.36328125" style="256" customWidth="1"/>
    <col min="11526" max="11526" width="15.54296875" style="256" customWidth="1"/>
    <col min="11527" max="11527" width="8.26953125" style="256" customWidth="1"/>
    <col min="11528" max="11528" width="15.54296875" style="256" customWidth="1"/>
    <col min="11529" max="11529" width="6.1796875" style="256" customWidth="1"/>
    <col min="11530" max="11530" width="15.54296875" style="256" customWidth="1"/>
    <col min="11531" max="11531" width="8.453125" style="256" customWidth="1"/>
    <col min="11532" max="11532" width="4.81640625" style="256" customWidth="1"/>
    <col min="11533" max="11777" width="5.1796875" style="256"/>
    <col min="11778" max="11778" width="17.7265625" style="256" customWidth="1"/>
    <col min="11779" max="11779" width="5.1796875" style="256"/>
    <col min="11780" max="11780" width="15.54296875" style="256" customWidth="1"/>
    <col min="11781" max="11781" width="4.36328125" style="256" customWidth="1"/>
    <col min="11782" max="11782" width="15.54296875" style="256" customWidth="1"/>
    <col min="11783" max="11783" width="8.26953125" style="256" customWidth="1"/>
    <col min="11784" max="11784" width="15.54296875" style="256" customWidth="1"/>
    <col min="11785" max="11785" width="6.1796875" style="256" customWidth="1"/>
    <col min="11786" max="11786" width="15.54296875" style="256" customWidth="1"/>
    <col min="11787" max="11787" width="8.453125" style="256" customWidth="1"/>
    <col min="11788" max="11788" width="4.81640625" style="256" customWidth="1"/>
    <col min="11789" max="12033" width="5.1796875" style="256"/>
    <col min="12034" max="12034" width="17.7265625" style="256" customWidth="1"/>
    <col min="12035" max="12035" width="5.1796875" style="256"/>
    <col min="12036" max="12036" width="15.54296875" style="256" customWidth="1"/>
    <col min="12037" max="12037" width="4.36328125" style="256" customWidth="1"/>
    <col min="12038" max="12038" width="15.54296875" style="256" customWidth="1"/>
    <col min="12039" max="12039" width="8.26953125" style="256" customWidth="1"/>
    <col min="12040" max="12040" width="15.54296875" style="256" customWidth="1"/>
    <col min="12041" max="12041" width="6.1796875" style="256" customWidth="1"/>
    <col min="12042" max="12042" width="15.54296875" style="256" customWidth="1"/>
    <col min="12043" max="12043" width="8.453125" style="256" customWidth="1"/>
    <col min="12044" max="12044" width="4.81640625" style="256" customWidth="1"/>
    <col min="12045" max="12289" width="5.1796875" style="256"/>
    <col min="12290" max="12290" width="17.7265625" style="256" customWidth="1"/>
    <col min="12291" max="12291" width="5.1796875" style="256"/>
    <col min="12292" max="12292" width="15.54296875" style="256" customWidth="1"/>
    <col min="12293" max="12293" width="4.36328125" style="256" customWidth="1"/>
    <col min="12294" max="12294" width="15.54296875" style="256" customWidth="1"/>
    <col min="12295" max="12295" width="8.26953125" style="256" customWidth="1"/>
    <col min="12296" max="12296" width="15.54296875" style="256" customWidth="1"/>
    <col min="12297" max="12297" width="6.1796875" style="256" customWidth="1"/>
    <col min="12298" max="12298" width="15.54296875" style="256" customWidth="1"/>
    <col min="12299" max="12299" width="8.453125" style="256" customWidth="1"/>
    <col min="12300" max="12300" width="4.81640625" style="256" customWidth="1"/>
    <col min="12301" max="12545" width="5.1796875" style="256"/>
    <col min="12546" max="12546" width="17.7265625" style="256" customWidth="1"/>
    <col min="12547" max="12547" width="5.1796875" style="256"/>
    <col min="12548" max="12548" width="15.54296875" style="256" customWidth="1"/>
    <col min="12549" max="12549" width="4.36328125" style="256" customWidth="1"/>
    <col min="12550" max="12550" width="15.54296875" style="256" customWidth="1"/>
    <col min="12551" max="12551" width="8.26953125" style="256" customWidth="1"/>
    <col min="12552" max="12552" width="15.54296875" style="256" customWidth="1"/>
    <col min="12553" max="12553" width="6.1796875" style="256" customWidth="1"/>
    <col min="12554" max="12554" width="15.54296875" style="256" customWidth="1"/>
    <col min="12555" max="12555" width="8.453125" style="256" customWidth="1"/>
    <col min="12556" max="12556" width="4.81640625" style="256" customWidth="1"/>
    <col min="12557" max="12801" width="5.1796875" style="256"/>
    <col min="12802" max="12802" width="17.7265625" style="256" customWidth="1"/>
    <col min="12803" max="12803" width="5.1796875" style="256"/>
    <col min="12804" max="12804" width="15.54296875" style="256" customWidth="1"/>
    <col min="12805" max="12805" width="4.36328125" style="256" customWidth="1"/>
    <col min="12806" max="12806" width="15.54296875" style="256" customWidth="1"/>
    <col min="12807" max="12807" width="8.26953125" style="256" customWidth="1"/>
    <col min="12808" max="12808" width="15.54296875" style="256" customWidth="1"/>
    <col min="12809" max="12809" width="6.1796875" style="256" customWidth="1"/>
    <col min="12810" max="12810" width="15.54296875" style="256" customWidth="1"/>
    <col min="12811" max="12811" width="8.453125" style="256" customWidth="1"/>
    <col min="12812" max="12812" width="4.81640625" style="256" customWidth="1"/>
    <col min="12813" max="13057" width="5.1796875" style="256"/>
    <col min="13058" max="13058" width="17.7265625" style="256" customWidth="1"/>
    <col min="13059" max="13059" width="5.1796875" style="256"/>
    <col min="13060" max="13060" width="15.54296875" style="256" customWidth="1"/>
    <col min="13061" max="13061" width="4.36328125" style="256" customWidth="1"/>
    <col min="13062" max="13062" width="15.54296875" style="256" customWidth="1"/>
    <col min="13063" max="13063" width="8.26953125" style="256" customWidth="1"/>
    <col min="13064" max="13064" width="15.54296875" style="256" customWidth="1"/>
    <col min="13065" max="13065" width="6.1796875" style="256" customWidth="1"/>
    <col min="13066" max="13066" width="15.54296875" style="256" customWidth="1"/>
    <col min="13067" max="13067" width="8.453125" style="256" customWidth="1"/>
    <col min="13068" max="13068" width="4.81640625" style="256" customWidth="1"/>
    <col min="13069" max="13313" width="5.1796875" style="256"/>
    <col min="13314" max="13314" width="17.7265625" style="256" customWidth="1"/>
    <col min="13315" max="13315" width="5.1796875" style="256"/>
    <col min="13316" max="13316" width="15.54296875" style="256" customWidth="1"/>
    <col min="13317" max="13317" width="4.36328125" style="256" customWidth="1"/>
    <col min="13318" max="13318" width="15.54296875" style="256" customWidth="1"/>
    <col min="13319" max="13319" width="8.26953125" style="256" customWidth="1"/>
    <col min="13320" max="13320" width="15.54296875" style="256" customWidth="1"/>
    <col min="13321" max="13321" width="6.1796875" style="256" customWidth="1"/>
    <col min="13322" max="13322" width="15.54296875" style="256" customWidth="1"/>
    <col min="13323" max="13323" width="8.453125" style="256" customWidth="1"/>
    <col min="13324" max="13324" width="4.81640625" style="256" customWidth="1"/>
    <col min="13325" max="13569" width="5.1796875" style="256"/>
    <col min="13570" max="13570" width="17.7265625" style="256" customWidth="1"/>
    <col min="13571" max="13571" width="5.1796875" style="256"/>
    <col min="13572" max="13572" width="15.54296875" style="256" customWidth="1"/>
    <col min="13573" max="13573" width="4.36328125" style="256" customWidth="1"/>
    <col min="13574" max="13574" width="15.54296875" style="256" customWidth="1"/>
    <col min="13575" max="13575" width="8.26953125" style="256" customWidth="1"/>
    <col min="13576" max="13576" width="15.54296875" style="256" customWidth="1"/>
    <col min="13577" max="13577" width="6.1796875" style="256" customWidth="1"/>
    <col min="13578" max="13578" width="15.54296875" style="256" customWidth="1"/>
    <col min="13579" max="13579" width="8.453125" style="256" customWidth="1"/>
    <col min="13580" max="13580" width="4.81640625" style="256" customWidth="1"/>
    <col min="13581" max="13825" width="5.1796875" style="256"/>
    <col min="13826" max="13826" width="17.7265625" style="256" customWidth="1"/>
    <col min="13827" max="13827" width="5.1796875" style="256"/>
    <col min="13828" max="13828" width="15.54296875" style="256" customWidth="1"/>
    <col min="13829" max="13829" width="4.36328125" style="256" customWidth="1"/>
    <col min="13830" max="13830" width="15.54296875" style="256" customWidth="1"/>
    <col min="13831" max="13831" width="8.26953125" style="256" customWidth="1"/>
    <col min="13832" max="13832" width="15.54296875" style="256" customWidth="1"/>
    <col min="13833" max="13833" width="6.1796875" style="256" customWidth="1"/>
    <col min="13834" max="13834" width="15.54296875" style="256" customWidth="1"/>
    <col min="13835" max="13835" width="8.453125" style="256" customWidth="1"/>
    <col min="13836" max="13836" width="4.81640625" style="256" customWidth="1"/>
    <col min="13837" max="14081" width="5.1796875" style="256"/>
    <col min="14082" max="14082" width="17.7265625" style="256" customWidth="1"/>
    <col min="14083" max="14083" width="5.1796875" style="256"/>
    <col min="14084" max="14084" width="15.54296875" style="256" customWidth="1"/>
    <col min="14085" max="14085" width="4.36328125" style="256" customWidth="1"/>
    <col min="14086" max="14086" width="15.54296875" style="256" customWidth="1"/>
    <col min="14087" max="14087" width="8.26953125" style="256" customWidth="1"/>
    <col min="14088" max="14088" width="15.54296875" style="256" customWidth="1"/>
    <col min="14089" max="14089" width="6.1796875" style="256" customWidth="1"/>
    <col min="14090" max="14090" width="15.54296875" style="256" customWidth="1"/>
    <col min="14091" max="14091" width="8.453125" style="256" customWidth="1"/>
    <col min="14092" max="14092" width="4.81640625" style="256" customWidth="1"/>
    <col min="14093" max="14337" width="5.1796875" style="256"/>
    <col min="14338" max="14338" width="17.7265625" style="256" customWidth="1"/>
    <col min="14339" max="14339" width="5.1796875" style="256"/>
    <col min="14340" max="14340" width="15.54296875" style="256" customWidth="1"/>
    <col min="14341" max="14341" width="4.36328125" style="256" customWidth="1"/>
    <col min="14342" max="14342" width="15.54296875" style="256" customWidth="1"/>
    <col min="14343" max="14343" width="8.26953125" style="256" customWidth="1"/>
    <col min="14344" max="14344" width="15.54296875" style="256" customWidth="1"/>
    <col min="14345" max="14345" width="6.1796875" style="256" customWidth="1"/>
    <col min="14346" max="14346" width="15.54296875" style="256" customWidth="1"/>
    <col min="14347" max="14347" width="8.453125" style="256" customWidth="1"/>
    <col min="14348" max="14348" width="4.81640625" style="256" customWidth="1"/>
    <col min="14349" max="14593" width="5.1796875" style="256"/>
    <col min="14594" max="14594" width="17.7265625" style="256" customWidth="1"/>
    <col min="14595" max="14595" width="5.1796875" style="256"/>
    <col min="14596" max="14596" width="15.54296875" style="256" customWidth="1"/>
    <col min="14597" max="14597" width="4.36328125" style="256" customWidth="1"/>
    <col min="14598" max="14598" width="15.54296875" style="256" customWidth="1"/>
    <col min="14599" max="14599" width="8.26953125" style="256" customWidth="1"/>
    <col min="14600" max="14600" width="15.54296875" style="256" customWidth="1"/>
    <col min="14601" max="14601" width="6.1796875" style="256" customWidth="1"/>
    <col min="14602" max="14602" width="15.54296875" style="256" customWidth="1"/>
    <col min="14603" max="14603" width="8.453125" style="256" customWidth="1"/>
    <col min="14604" max="14604" width="4.81640625" style="256" customWidth="1"/>
    <col min="14605" max="14849" width="5.1796875" style="256"/>
    <col min="14850" max="14850" width="17.7265625" style="256" customWidth="1"/>
    <col min="14851" max="14851" width="5.1796875" style="256"/>
    <col min="14852" max="14852" width="15.54296875" style="256" customWidth="1"/>
    <col min="14853" max="14853" width="4.36328125" style="256" customWidth="1"/>
    <col min="14854" max="14854" width="15.54296875" style="256" customWidth="1"/>
    <col min="14855" max="14855" width="8.26953125" style="256" customWidth="1"/>
    <col min="14856" max="14856" width="15.54296875" style="256" customWidth="1"/>
    <col min="14857" max="14857" width="6.1796875" style="256" customWidth="1"/>
    <col min="14858" max="14858" width="15.54296875" style="256" customWidth="1"/>
    <col min="14859" max="14859" width="8.453125" style="256" customWidth="1"/>
    <col min="14860" max="14860" width="4.81640625" style="256" customWidth="1"/>
    <col min="14861" max="15105" width="5.1796875" style="256"/>
    <col min="15106" max="15106" width="17.7265625" style="256" customWidth="1"/>
    <col min="15107" max="15107" width="5.1796875" style="256"/>
    <col min="15108" max="15108" width="15.54296875" style="256" customWidth="1"/>
    <col min="15109" max="15109" width="4.36328125" style="256" customWidth="1"/>
    <col min="15110" max="15110" width="15.54296875" style="256" customWidth="1"/>
    <col min="15111" max="15111" width="8.26953125" style="256" customWidth="1"/>
    <col min="15112" max="15112" width="15.54296875" style="256" customWidth="1"/>
    <col min="15113" max="15113" width="6.1796875" style="256" customWidth="1"/>
    <col min="15114" max="15114" width="15.54296875" style="256" customWidth="1"/>
    <col min="15115" max="15115" width="8.453125" style="256" customWidth="1"/>
    <col min="15116" max="15116" width="4.81640625" style="256" customWidth="1"/>
    <col min="15117" max="15361" width="5.1796875" style="256"/>
    <col min="15362" max="15362" width="17.7265625" style="256" customWidth="1"/>
    <col min="15363" max="15363" width="5.1796875" style="256"/>
    <col min="15364" max="15364" width="15.54296875" style="256" customWidth="1"/>
    <col min="15365" max="15365" width="4.36328125" style="256" customWidth="1"/>
    <col min="15366" max="15366" width="15.54296875" style="256" customWidth="1"/>
    <col min="15367" max="15367" width="8.26953125" style="256" customWidth="1"/>
    <col min="15368" max="15368" width="15.54296875" style="256" customWidth="1"/>
    <col min="15369" max="15369" width="6.1796875" style="256" customWidth="1"/>
    <col min="15370" max="15370" width="15.54296875" style="256" customWidth="1"/>
    <col min="15371" max="15371" width="8.453125" style="256" customWidth="1"/>
    <col min="15372" max="15372" width="4.81640625" style="256" customWidth="1"/>
    <col min="15373" max="15617" width="5.1796875" style="256"/>
    <col min="15618" max="15618" width="17.7265625" style="256" customWidth="1"/>
    <col min="15619" max="15619" width="5.1796875" style="256"/>
    <col min="15620" max="15620" width="15.54296875" style="256" customWidth="1"/>
    <col min="15621" max="15621" width="4.36328125" style="256" customWidth="1"/>
    <col min="15622" max="15622" width="15.54296875" style="256" customWidth="1"/>
    <col min="15623" max="15623" width="8.26953125" style="256" customWidth="1"/>
    <col min="15624" max="15624" width="15.54296875" style="256" customWidth="1"/>
    <col min="15625" max="15625" width="6.1796875" style="256" customWidth="1"/>
    <col min="15626" max="15626" width="15.54296875" style="256" customWidth="1"/>
    <col min="15627" max="15627" width="8.453125" style="256" customWidth="1"/>
    <col min="15628" max="15628" width="4.81640625" style="256" customWidth="1"/>
    <col min="15629" max="15873" width="5.1796875" style="256"/>
    <col min="15874" max="15874" width="17.7265625" style="256" customWidth="1"/>
    <col min="15875" max="15875" width="5.1796875" style="256"/>
    <col min="15876" max="15876" width="15.54296875" style="256" customWidth="1"/>
    <col min="15877" max="15877" width="4.36328125" style="256" customWidth="1"/>
    <col min="15878" max="15878" width="15.54296875" style="256" customWidth="1"/>
    <col min="15879" max="15879" width="8.26953125" style="256" customWidth="1"/>
    <col min="15880" max="15880" width="15.54296875" style="256" customWidth="1"/>
    <col min="15881" max="15881" width="6.1796875" style="256" customWidth="1"/>
    <col min="15882" max="15882" width="15.54296875" style="256" customWidth="1"/>
    <col min="15883" max="15883" width="8.453125" style="256" customWidth="1"/>
    <col min="15884" max="15884" width="4.81640625" style="256" customWidth="1"/>
    <col min="15885" max="16129" width="5.1796875" style="256"/>
    <col min="16130" max="16130" width="17.7265625" style="256" customWidth="1"/>
    <col min="16131" max="16131" width="5.1796875" style="256"/>
    <col min="16132" max="16132" width="15.54296875" style="256" customWidth="1"/>
    <col min="16133" max="16133" width="4.36328125" style="256" customWidth="1"/>
    <col min="16134" max="16134" width="15.54296875" style="256" customWidth="1"/>
    <col min="16135" max="16135" width="8.26953125" style="256" customWidth="1"/>
    <col min="16136" max="16136" width="15.54296875" style="256" customWidth="1"/>
    <col min="16137" max="16137" width="6.1796875" style="256" customWidth="1"/>
    <col min="16138" max="16138" width="15.54296875" style="256" customWidth="1"/>
    <col min="16139" max="16139" width="8.453125" style="256" customWidth="1"/>
    <col min="16140" max="16140" width="4.81640625" style="256" customWidth="1"/>
    <col min="16141" max="16384" width="5.1796875" style="256"/>
  </cols>
  <sheetData>
    <row r="4" spans="1:12" ht="12.75" customHeight="1">
      <c r="D4" s="256" t="s">
        <v>2800</v>
      </c>
    </row>
    <row r="5" spans="1:12" ht="12.75" customHeight="1">
      <c r="A5" s="256">
        <v>1</v>
      </c>
      <c r="B5" s="257" t="s">
        <v>2801</v>
      </c>
      <c r="C5" s="258">
        <v>0.23</v>
      </c>
      <c r="D5" s="256">
        <v>2</v>
      </c>
    </row>
    <row r="6" spans="1:12" ht="12.75" customHeight="1">
      <c r="A6" s="256">
        <v>2</v>
      </c>
      <c r="B6" s="257" t="s">
        <v>2802</v>
      </c>
      <c r="C6" s="258">
        <v>0.28000000000000003</v>
      </c>
      <c r="D6" s="256">
        <v>2.5</v>
      </c>
    </row>
    <row r="7" spans="1:12" ht="12.75" customHeight="1">
      <c r="A7" s="256">
        <v>3</v>
      </c>
      <c r="B7" s="257" t="s">
        <v>2803</v>
      </c>
      <c r="C7" s="258">
        <v>0.3</v>
      </c>
      <c r="D7" s="256">
        <v>4</v>
      </c>
    </row>
    <row r="8" spans="1:12" ht="12.75" customHeight="1">
      <c r="A8" s="256">
        <v>4</v>
      </c>
      <c r="B8" s="257" t="s">
        <v>2804</v>
      </c>
      <c r="C8" s="258">
        <v>0.34</v>
      </c>
      <c r="D8" s="256">
        <v>6</v>
      </c>
    </row>
    <row r="9" spans="1:12" ht="12.75" customHeight="1">
      <c r="A9" s="167">
        <v>1</v>
      </c>
      <c r="B9" s="167">
        <v>3</v>
      </c>
      <c r="C9" s="259">
        <f>VLOOKUP(A9,A5:C8,B9)</f>
        <v>0.23</v>
      </c>
      <c r="D9" s="256">
        <f>VLOOKUP(A9,A5:D8,4)</f>
        <v>2</v>
      </c>
    </row>
    <row r="11" spans="1:12" ht="12.75" customHeight="1">
      <c r="A11" s="256">
        <f>Фундамент!H282</f>
        <v>-10.199999999999999</v>
      </c>
      <c r="B11" s="256">
        <f>IF(A11&lt;0,A11,0)</f>
        <v>-10.199999999999999</v>
      </c>
      <c r="C11" s="256">
        <f>Фундамент!J282</f>
        <v>4.4000000000000004</v>
      </c>
      <c r="D11" s="256">
        <f>IF(C11&lt;0,C11,0)</f>
        <v>0</v>
      </c>
      <c r="F11" s="256">
        <f>Фундамент!L282</f>
        <v>18.100000000000001</v>
      </c>
      <c r="H11" s="256">
        <f>IF(F11&lt;0,F11,0)</f>
        <v>0</v>
      </c>
      <c r="J11" s="256">
        <f>Фундамент!N282</f>
        <v>4.3</v>
      </c>
      <c r="L11" s="256">
        <f>IF(J11&lt;0,J11,0)</f>
        <v>0</v>
      </c>
    </row>
    <row r="12" spans="1:12" ht="12.75" customHeight="1">
      <c r="A12" s="256">
        <f>Фундамент!H283</f>
        <v>-9.1999999999999993</v>
      </c>
      <c r="B12" s="256">
        <f>IF(A12&lt;0,A12,0)</f>
        <v>-9.1999999999999993</v>
      </c>
      <c r="C12" s="256">
        <f>Фундамент!J283</f>
        <v>11.9</v>
      </c>
      <c r="D12" s="256">
        <f>IF(C12&lt;0,C12,0)</f>
        <v>0</v>
      </c>
      <c r="F12" s="256">
        <f>Фундамент!L283</f>
        <v>16.3</v>
      </c>
      <c r="H12" s="256">
        <f>IF(F12&lt;0,F12,0)</f>
        <v>0</v>
      </c>
      <c r="J12" s="256">
        <f>Фундамент!N283</f>
        <v>-1.9</v>
      </c>
      <c r="L12" s="256">
        <f>IF(J12&lt;0,J12,0)</f>
        <v>-1.9</v>
      </c>
    </row>
    <row r="13" spans="1:12" ht="12.75" customHeight="1">
      <c r="A13" s="256">
        <f>Фундамент!H284</f>
        <v>-4.3</v>
      </c>
      <c r="B13" s="256">
        <f>IF(A13&lt;0,A13,0)</f>
        <v>-4.3</v>
      </c>
      <c r="C13" s="256">
        <f>Фундамент!J284</f>
        <v>16</v>
      </c>
      <c r="D13" s="256">
        <f>IF(C13&lt;0,C13,0)</f>
        <v>0</v>
      </c>
      <c r="F13" s="256">
        <f>Фундамент!L284</f>
        <v>10.7</v>
      </c>
      <c r="H13" s="256">
        <f>IF(F13&lt;0,F13,0)</f>
        <v>0</v>
      </c>
      <c r="J13" s="256">
        <f>Фундамент!N284</f>
        <v>-7.3</v>
      </c>
      <c r="L13" s="256">
        <f>IF(J13&lt;0,J13,0)</f>
        <v>-7.3</v>
      </c>
    </row>
    <row r="14" spans="1:12" ht="12.75" customHeight="1">
      <c r="A14" s="256" t="s">
        <v>2805</v>
      </c>
      <c r="B14" s="256">
        <f>B11+B12+B13+D11+D12+D13+H11+H12+H13+L11+L12+L13</f>
        <v>-32.9</v>
      </c>
      <c r="C14" s="256" t="s">
        <v>2806</v>
      </c>
      <c r="D14" s="256">
        <f>SQRT(B14*(-1))</f>
        <v>5.735852159879995</v>
      </c>
      <c r="F14" s="256" t="s">
        <v>2807</v>
      </c>
      <c r="H14" s="260">
        <f>D14*C9</f>
        <v>1.3192459967723988</v>
      </c>
      <c r="I14" s="260"/>
    </row>
    <row r="16" spans="1:12" ht="12.75" customHeight="1" thickBot="1"/>
    <row r="17" spans="1:20" ht="12.75" customHeight="1">
      <c r="B17" s="261"/>
      <c r="C17" s="980" t="s">
        <v>2808</v>
      </c>
      <c r="D17" s="981"/>
      <c r="E17" s="981"/>
      <c r="F17" s="981"/>
      <c r="G17" s="981"/>
      <c r="H17" s="981"/>
      <c r="I17" s="981"/>
      <c r="J17" s="982"/>
      <c r="K17" s="262"/>
    </row>
    <row r="18" spans="1:20" ht="51" customHeight="1">
      <c r="B18" s="263"/>
      <c r="C18" s="983" t="s">
        <v>2809</v>
      </c>
      <c r="D18" s="984"/>
      <c r="E18" s="984"/>
      <c r="F18" s="984"/>
      <c r="G18" s="984"/>
      <c r="H18" s="984"/>
      <c r="I18" s="984"/>
      <c r="J18" s="985"/>
      <c r="K18" s="262"/>
    </row>
    <row r="19" spans="1:20" ht="12.75" customHeight="1" thickBot="1">
      <c r="B19" s="263" t="s">
        <v>2810</v>
      </c>
      <c r="C19" s="986"/>
      <c r="D19" s="987"/>
      <c r="E19" s="987"/>
      <c r="F19" s="987"/>
      <c r="G19" s="987"/>
      <c r="H19" s="987"/>
      <c r="I19" s="987"/>
      <c r="J19" s="988"/>
      <c r="K19" s="264"/>
      <c r="R19" s="256">
        <v>4</v>
      </c>
      <c r="S19" s="256" t="s">
        <v>2880</v>
      </c>
      <c r="T19" s="256">
        <v>5.23</v>
      </c>
    </row>
    <row r="20" spans="1:20" ht="12.75" customHeight="1">
      <c r="B20" s="989"/>
      <c r="C20" s="991" t="s">
        <v>2811</v>
      </c>
      <c r="D20" s="991" t="s">
        <v>2812</v>
      </c>
      <c r="E20" s="991" t="s">
        <v>2813</v>
      </c>
      <c r="F20" s="991" t="s">
        <v>2814</v>
      </c>
      <c r="G20" s="265" t="s">
        <v>2815</v>
      </c>
      <c r="H20" s="262"/>
      <c r="S20" s="256" t="s">
        <v>2881</v>
      </c>
      <c r="T20" s="256">
        <v>6.81</v>
      </c>
    </row>
    <row r="21" spans="1:20" ht="12.75" customHeight="1" thickBot="1">
      <c r="B21" s="990"/>
      <c r="C21" s="992"/>
      <c r="D21" s="992"/>
      <c r="E21" s="992"/>
      <c r="F21" s="992"/>
      <c r="G21" s="266" t="s">
        <v>2816</v>
      </c>
      <c r="H21" s="262"/>
      <c r="S21" s="256" t="s">
        <v>2882</v>
      </c>
      <c r="T21" s="256">
        <v>8.3800000000000008</v>
      </c>
    </row>
    <row r="22" spans="1:20" ht="12.75" customHeight="1">
      <c r="B22" s="267"/>
      <c r="C22" s="268"/>
      <c r="D22" s="268"/>
      <c r="E22" s="268"/>
      <c r="F22" s="268"/>
      <c r="G22" s="268"/>
      <c r="H22" s="262"/>
      <c r="S22" s="256" t="s">
        <v>2883</v>
      </c>
      <c r="T22" s="256">
        <v>15.09</v>
      </c>
    </row>
    <row r="23" spans="1:20" ht="12.75" customHeight="1">
      <c r="A23" s="256">
        <v>1</v>
      </c>
      <c r="B23" s="267" t="s">
        <v>2817</v>
      </c>
      <c r="C23" s="268">
        <v>0.9</v>
      </c>
      <c r="D23" s="268">
        <v>0.8</v>
      </c>
      <c r="E23" s="268">
        <v>0.7</v>
      </c>
      <c r="F23" s="268">
        <v>0.6</v>
      </c>
      <c r="G23" s="268">
        <v>0.5</v>
      </c>
      <c r="H23" s="262"/>
      <c r="K23" s="256">
        <v>2</v>
      </c>
      <c r="L23" s="256">
        <v>1</v>
      </c>
      <c r="M23" s="256">
        <v>6</v>
      </c>
      <c r="N23" s="256">
        <v>0.222</v>
      </c>
      <c r="S23" s="256" t="s">
        <v>2884</v>
      </c>
      <c r="T23" s="256">
        <v>18.79</v>
      </c>
    </row>
    <row r="24" spans="1:20" ht="12.75" customHeight="1">
      <c r="A24" s="256">
        <v>2</v>
      </c>
      <c r="B24" s="267" t="s">
        <v>2818</v>
      </c>
      <c r="C24" s="268">
        <v>1</v>
      </c>
      <c r="D24" s="268">
        <v>0.9</v>
      </c>
      <c r="E24" s="268">
        <v>0.8</v>
      </c>
      <c r="F24" s="268">
        <v>0.7</v>
      </c>
      <c r="G24" s="268">
        <v>0.6</v>
      </c>
      <c r="H24" s="262"/>
      <c r="K24" s="256">
        <f>VLOOKUP(K23,L23:N25,3)</f>
        <v>0.39500000000000002</v>
      </c>
      <c r="L24" s="256">
        <v>2</v>
      </c>
      <c r="M24" s="256">
        <v>8</v>
      </c>
      <c r="N24" s="256">
        <v>0.39500000000000002</v>
      </c>
      <c r="S24" s="256" t="str">
        <f>INDEX(S19:S23,R19,1)</f>
        <v>108х6</v>
      </c>
      <c r="T24" s="256">
        <f>INDEX(T19:T23,R19,1)</f>
        <v>15.09</v>
      </c>
    </row>
    <row r="25" spans="1:20" ht="12.75" customHeight="1">
      <c r="A25" s="256">
        <v>3</v>
      </c>
      <c r="B25" s="267" t="s">
        <v>2819</v>
      </c>
      <c r="C25" s="268">
        <v>1</v>
      </c>
      <c r="D25" s="268">
        <v>1</v>
      </c>
      <c r="E25" s="268">
        <v>0.9</v>
      </c>
      <c r="F25" s="268">
        <v>0.8</v>
      </c>
      <c r="G25" s="268">
        <v>0.7</v>
      </c>
      <c r="H25" s="262"/>
      <c r="K25" s="256">
        <f>VLOOKUP(K23,L23:M25,2)</f>
        <v>8</v>
      </c>
      <c r="L25" s="256">
        <v>3</v>
      </c>
      <c r="M25" s="256">
        <v>10</v>
      </c>
      <c r="N25" s="256">
        <v>0.61699999999999999</v>
      </c>
    </row>
    <row r="26" spans="1:20" ht="12.75" customHeight="1" thickBot="1">
      <c r="A26" s="256">
        <v>4</v>
      </c>
      <c r="B26" s="267" t="s">
        <v>2820</v>
      </c>
      <c r="C26" s="268">
        <v>0.8</v>
      </c>
      <c r="D26" s="268">
        <v>0.7</v>
      </c>
      <c r="E26" s="268">
        <v>0.6</v>
      </c>
      <c r="F26" s="268">
        <v>0.5</v>
      </c>
      <c r="G26" s="268">
        <v>0.4</v>
      </c>
      <c r="H26" s="262"/>
    </row>
    <row r="27" spans="1:20" ht="12.75" customHeight="1">
      <c r="K27" s="269">
        <v>2</v>
      </c>
      <c r="L27" s="270">
        <v>1</v>
      </c>
      <c r="M27" s="270">
        <v>400</v>
      </c>
      <c r="N27" s="270"/>
      <c r="O27" s="270"/>
      <c r="P27" s="270"/>
      <c r="Q27" s="270">
        <v>190</v>
      </c>
      <c r="R27" s="270">
        <f>R28*0.8</f>
        <v>2.8716000000000005E-2</v>
      </c>
      <c r="S27" s="270"/>
      <c r="T27" s="271"/>
    </row>
    <row r="28" spans="1:20" ht="12.75" customHeight="1">
      <c r="A28" s="167">
        <v>4</v>
      </c>
      <c r="B28" s="167">
        <f>2+C36</f>
        <v>7</v>
      </c>
      <c r="C28" s="259">
        <f>VLOOKUP(A28,A22:G26,B28)</f>
        <v>0.4</v>
      </c>
      <c r="K28" s="272"/>
      <c r="L28" s="273">
        <v>2</v>
      </c>
      <c r="M28" s="273">
        <v>500</v>
      </c>
      <c r="N28" s="273"/>
      <c r="O28" s="273"/>
      <c r="P28" s="273"/>
      <c r="Q28" s="273">
        <v>240</v>
      </c>
      <c r="R28" s="273">
        <v>3.5895000000000003E-2</v>
      </c>
      <c r="S28" s="273"/>
      <c r="T28" s="274"/>
    </row>
    <row r="29" spans="1:20" ht="12.75" customHeight="1" thickBot="1">
      <c r="K29" s="275"/>
      <c r="L29" s="276">
        <v>3</v>
      </c>
      <c r="M29" s="276">
        <v>600</v>
      </c>
      <c r="N29" s="276"/>
      <c r="O29" s="276"/>
      <c r="P29" s="276"/>
      <c r="Q29" s="276">
        <v>290</v>
      </c>
      <c r="R29" s="276">
        <f>R28*1.2</f>
        <v>4.3074000000000001E-2</v>
      </c>
      <c r="S29" s="276">
        <f>VLOOKUP(K27,L27:R29,7)</f>
        <v>3.5895000000000003E-2</v>
      </c>
      <c r="T29" s="277">
        <f>VLOOKUP(K27,L27:Q29,6)</f>
        <v>240</v>
      </c>
    </row>
    <row r="30" spans="1:20" ht="12.75" customHeight="1">
      <c r="A30" s="256">
        <v>1</v>
      </c>
      <c r="B30" s="256" t="str">
        <f>C20</f>
        <v>0°С</v>
      </c>
      <c r="K30" s="256">
        <v>2</v>
      </c>
      <c r="L30" s="256">
        <v>1</v>
      </c>
      <c r="M30" s="256">
        <v>200</v>
      </c>
      <c r="N30" s="256">
        <v>500</v>
      </c>
      <c r="O30" s="256">
        <f>M30-60</f>
        <v>140</v>
      </c>
      <c r="P30" s="256">
        <f>0.6</f>
        <v>0.6</v>
      </c>
      <c r="Q30" s="256">
        <v>240</v>
      </c>
      <c r="R30" s="256">
        <v>3.5895000000000003E-2</v>
      </c>
    </row>
    <row r="31" spans="1:20" ht="12.75" customHeight="1">
      <c r="A31" s="256">
        <v>2</v>
      </c>
      <c r="B31" s="256" t="str">
        <f>D20</f>
        <v>5°С</v>
      </c>
      <c r="D31" s="256" t="s">
        <v>2821</v>
      </c>
      <c r="F31" s="256">
        <f>H14*C28</f>
        <v>0.52769839870895952</v>
      </c>
      <c r="K31" s="256">
        <f>VLOOKUP(K30,L30:P32,5)</f>
        <v>0.75</v>
      </c>
      <c r="L31" s="256">
        <v>2</v>
      </c>
      <c r="M31" s="256">
        <v>250</v>
      </c>
      <c r="N31" s="256">
        <v>600</v>
      </c>
      <c r="O31" s="256">
        <f>M31-60</f>
        <v>190</v>
      </c>
      <c r="P31" s="256">
        <f>P30*1.25</f>
        <v>0.75</v>
      </c>
      <c r="Q31" s="256">
        <v>290</v>
      </c>
      <c r="R31" s="256">
        <f>R30*1.2</f>
        <v>4.3074000000000001E-2</v>
      </c>
    </row>
    <row r="32" spans="1:20" ht="12.75" customHeight="1">
      <c r="A32" s="256">
        <v>3</v>
      </c>
      <c r="B32" s="256" t="str">
        <f>E20</f>
        <v>10°С</v>
      </c>
      <c r="K32" s="256">
        <f>VLOOKUP(K30,L30:Q32,6)</f>
        <v>290</v>
      </c>
      <c r="L32" s="256">
        <v>3</v>
      </c>
      <c r="M32" s="256">
        <v>300</v>
      </c>
      <c r="N32" s="256">
        <v>600</v>
      </c>
      <c r="O32" s="256">
        <f>M32-60</f>
        <v>240</v>
      </c>
      <c r="P32" s="256">
        <f>P30*1.5</f>
        <v>0.89999999999999991</v>
      </c>
      <c r="Q32" s="256">
        <v>290</v>
      </c>
      <c r="R32" s="256">
        <f>R31</f>
        <v>4.3074000000000001E-2</v>
      </c>
    </row>
    <row r="33" spans="1:18" ht="12.75" customHeight="1">
      <c r="A33" s="256">
        <v>4</v>
      </c>
      <c r="B33" s="256" t="str">
        <f>F20</f>
        <v>15°С</v>
      </c>
      <c r="R33" s="256">
        <f>VLOOKUP(K30,L30:R32,7)</f>
        <v>4.3074000000000001E-2</v>
      </c>
    </row>
    <row r="34" spans="1:18" ht="12.75" customHeight="1">
      <c r="A34" s="256">
        <v>5</v>
      </c>
      <c r="B34" s="256" t="str">
        <f>G20</f>
        <v>&gt;20°С</v>
      </c>
    </row>
    <row r="35" spans="1:18" ht="12.75" customHeight="1">
      <c r="K35" s="256">
        <v>2</v>
      </c>
      <c r="L35" s="256">
        <v>1</v>
      </c>
      <c r="M35" s="256">
        <v>8</v>
      </c>
      <c r="N35" s="256">
        <v>0.39500000000000002</v>
      </c>
    </row>
    <row r="36" spans="1:18" ht="12.75" customHeight="1">
      <c r="A36" s="167">
        <v>5</v>
      </c>
      <c r="B36" s="167">
        <v>1</v>
      </c>
      <c r="C36" s="259">
        <f>VLOOKUP(A36,A30:J34,B36)</f>
        <v>5</v>
      </c>
      <c r="K36" s="256">
        <f>VLOOKUP(K35,L35:N39,3)</f>
        <v>0.61699999999999999</v>
      </c>
      <c r="L36" s="256">
        <v>2</v>
      </c>
      <c r="M36" s="256">
        <v>10</v>
      </c>
      <c r="N36" s="256">
        <v>0.61699999999999999</v>
      </c>
    </row>
    <row r="37" spans="1:18" ht="12.75" customHeight="1">
      <c r="K37" s="256">
        <f>VLOOKUP(K35,L35:M39,2)</f>
        <v>10</v>
      </c>
      <c r="L37" s="256">
        <v>3</v>
      </c>
      <c r="M37" s="256">
        <v>12</v>
      </c>
      <c r="N37" s="256">
        <v>0.88800000000000001</v>
      </c>
    </row>
    <row r="38" spans="1:18" ht="12.75" customHeight="1">
      <c r="L38" s="256">
        <v>5</v>
      </c>
      <c r="M38" s="256">
        <v>14</v>
      </c>
      <c r="N38" s="256">
        <v>1.21</v>
      </c>
    </row>
    <row r="39" spans="1:18" ht="12.75" customHeight="1">
      <c r="L39" s="256">
        <v>6</v>
      </c>
      <c r="M39" s="256">
        <v>16</v>
      </c>
      <c r="N39" s="256">
        <v>1.58</v>
      </c>
    </row>
    <row r="40" spans="1:18" ht="12.75" customHeight="1">
      <c r="B40" s="278" t="s">
        <v>2822</v>
      </c>
      <c r="C40" s="279"/>
      <c r="D40" s="279"/>
      <c r="E40" s="279"/>
      <c r="F40" s="279"/>
      <c r="G40" s="279"/>
      <c r="H40" s="279"/>
      <c r="I40" s="279"/>
      <c r="J40" s="279"/>
      <c r="K40" s="279"/>
    </row>
    <row r="41" spans="1:18" ht="12.75" customHeight="1" thickBot="1">
      <c r="B41" s="280"/>
      <c r="C41" s="279"/>
      <c r="D41" s="279">
        <f>Фундамент!H282</f>
        <v>-10.199999999999999</v>
      </c>
      <c r="E41" s="279"/>
      <c r="F41" s="281">
        <f>Фундамент!N315</f>
        <v>3.8</v>
      </c>
      <c r="G41" s="279"/>
      <c r="H41" s="279">
        <f>Фундамент!L282</f>
        <v>18.100000000000001</v>
      </c>
      <c r="I41" s="279"/>
      <c r="J41" s="279">
        <f>Фундамент!N324</f>
        <v>70</v>
      </c>
      <c r="K41" s="279">
        <f>Фундамент!N311</f>
        <v>77</v>
      </c>
      <c r="L41" s="256">
        <f>Фундамент!J282</f>
        <v>4.4000000000000004</v>
      </c>
      <c r="M41" s="256">
        <f>Фундамент!N282</f>
        <v>4.3</v>
      </c>
    </row>
    <row r="42" spans="1:18" ht="54" customHeight="1" thickBot="1">
      <c r="B42" s="282" t="s">
        <v>2823</v>
      </c>
      <c r="C42" s="283" t="s">
        <v>2824</v>
      </c>
      <c r="D42" s="284" t="s">
        <v>2825</v>
      </c>
      <c r="E42" s="284"/>
      <c r="F42" s="283" t="s">
        <v>2826</v>
      </c>
      <c r="G42" s="284"/>
      <c r="H42" s="284" t="s">
        <v>2827</v>
      </c>
      <c r="I42" s="284"/>
      <c r="J42" s="283" t="s">
        <v>2828</v>
      </c>
      <c r="K42" s="283"/>
      <c r="L42" s="283"/>
    </row>
    <row r="43" spans="1:18" ht="12.75" customHeight="1">
      <c r="A43" s="256">
        <v>1</v>
      </c>
      <c r="B43" s="285" t="s">
        <v>2829</v>
      </c>
      <c r="C43" s="263" t="s">
        <v>2830</v>
      </c>
      <c r="D43" s="286" t="s">
        <v>2831</v>
      </c>
      <c r="E43" s="287">
        <f>IF(D41&lt;-31.9,1,0)</f>
        <v>0</v>
      </c>
      <c r="F43" s="263" t="s">
        <v>2832</v>
      </c>
      <c r="G43" s="288">
        <f>IF(F41&lt;5,1,0)</f>
        <v>1</v>
      </c>
      <c r="H43" s="286" t="s">
        <v>2833</v>
      </c>
      <c r="I43" s="287">
        <f>IF(H41&lt;19.1,IF(H41&gt;4,1,0),0)</f>
        <v>1</v>
      </c>
      <c r="J43" s="263" t="s">
        <v>2832</v>
      </c>
      <c r="K43" s="288">
        <f>IF(J41&lt;75,1,0)</f>
        <v>1</v>
      </c>
      <c r="L43" s="256">
        <f>IF(L41&gt;0,IF(M41&gt;0,1,0),0)</f>
        <v>1</v>
      </c>
      <c r="M43" s="288">
        <f>IF(E43=0,0,E43+G43+I43+K43+L43)</f>
        <v>0</v>
      </c>
      <c r="N43" s="256" t="str">
        <f>IF(M43=O43,C43,"")</f>
        <v/>
      </c>
      <c r="O43" s="256">
        <f>M59</f>
        <v>5</v>
      </c>
      <c r="P43" s="256" t="str">
        <f>IF(N43="",""," ")</f>
        <v/>
      </c>
      <c r="Q43" s="256" t="str">
        <f>CONCATENATE(N43,P43)</f>
        <v/>
      </c>
    </row>
    <row r="44" spans="1:18" ht="12.75" customHeight="1">
      <c r="A44" s="256">
        <v>2</v>
      </c>
      <c r="B44" s="285"/>
      <c r="C44" s="263" t="s">
        <v>2834</v>
      </c>
      <c r="D44" s="286" t="s">
        <v>2835</v>
      </c>
      <c r="E44" s="287">
        <f>IF(D41&lt;-27.9,IF(D41&gt;-32,1,0),0)</f>
        <v>0</v>
      </c>
      <c r="F44" s="263" t="s">
        <v>2836</v>
      </c>
      <c r="G44" s="288">
        <f>IF(F41&lt;5,0,1)</f>
        <v>0</v>
      </c>
      <c r="H44" s="286" t="s">
        <v>2837</v>
      </c>
      <c r="I44" s="287">
        <f>IF(H41&lt;13.1,IF(H41&gt;0,1,0),0)</f>
        <v>0</v>
      </c>
      <c r="J44" s="263" t="s">
        <v>2838</v>
      </c>
      <c r="K44" s="288">
        <f>IF(J41&lt;75,0,1)</f>
        <v>0</v>
      </c>
      <c r="L44" s="256">
        <f>IF(L41&gt;0,IF(M41&gt;0,1,0),0)</f>
        <v>1</v>
      </c>
      <c r="M44" s="288">
        <f t="shared" ref="M44:M58" si="0">IF(E44=0,0,E44+G44+I44+K44+L44)</f>
        <v>0</v>
      </c>
      <c r="N44" s="256" t="str">
        <f t="shared" ref="N44:N58" si="1">IF(M44=O44,C44,"")</f>
        <v/>
      </c>
      <c r="O44" s="256">
        <f>M59</f>
        <v>5</v>
      </c>
      <c r="P44" s="256" t="str">
        <f t="shared" ref="P44:P58" si="2">IF(N44="",""," ")</f>
        <v/>
      </c>
      <c r="Q44" s="256" t="str">
        <f t="shared" ref="Q44:Q58" si="3">CONCATENATE(N44,P44)</f>
        <v/>
      </c>
    </row>
    <row r="45" spans="1:18" ht="12.75" customHeight="1">
      <c r="A45" s="256">
        <v>3</v>
      </c>
      <c r="B45" s="285"/>
      <c r="C45" s="263" t="s">
        <v>2839</v>
      </c>
      <c r="D45" s="286" t="s">
        <v>2840</v>
      </c>
      <c r="E45" s="287">
        <f>IF(D41&lt;-13.9,IF(D41&gt;-28,1,0),0)</f>
        <v>0</v>
      </c>
      <c r="F45" s="263" t="s">
        <v>2832</v>
      </c>
      <c r="G45" s="288">
        <f>IF(F41&lt;5,1,0)</f>
        <v>1</v>
      </c>
      <c r="H45" s="286" t="s">
        <v>2841</v>
      </c>
      <c r="I45" s="287">
        <f>IF(H41&lt;21.1,IF(H41&gt;12,1,0),0)</f>
        <v>1</v>
      </c>
      <c r="J45" s="263" t="s">
        <v>2832</v>
      </c>
      <c r="K45" s="262">
        <f>IF(J41&lt;75,1,0)</f>
        <v>1</v>
      </c>
      <c r="L45" s="256">
        <f>IF(L41&gt;0,IF(M41&gt;0,1,0),0)</f>
        <v>1</v>
      </c>
      <c r="M45" s="288">
        <f t="shared" si="0"/>
        <v>0</v>
      </c>
      <c r="N45" s="256" t="str">
        <f t="shared" si="1"/>
        <v/>
      </c>
      <c r="O45" s="256">
        <f>M59</f>
        <v>5</v>
      </c>
      <c r="P45" s="256" t="str">
        <f t="shared" si="2"/>
        <v/>
      </c>
      <c r="Q45" s="256" t="str">
        <f t="shared" si="3"/>
        <v/>
      </c>
    </row>
    <row r="46" spans="1:18" ht="12.75" customHeight="1">
      <c r="A46" s="256">
        <v>4</v>
      </c>
      <c r="B46" s="285"/>
      <c r="C46" s="263" t="s">
        <v>2842</v>
      </c>
      <c r="D46" s="286" t="s">
        <v>2840</v>
      </c>
      <c r="E46" s="287">
        <f>IF(D41&lt;-13.9,IF(D41&gt;-28,1,0),0)</f>
        <v>0</v>
      </c>
      <c r="F46" s="263" t="s">
        <v>2836</v>
      </c>
      <c r="G46" s="288">
        <f>IF(F41&lt;5,0,1)</f>
        <v>0</v>
      </c>
      <c r="H46" s="286" t="s">
        <v>2843</v>
      </c>
      <c r="I46" s="287">
        <f>IF(H41&lt;14.11,IF(H41&gt;0,1,0),0)</f>
        <v>0</v>
      </c>
      <c r="J46" s="263" t="s">
        <v>2838</v>
      </c>
      <c r="K46" s="262">
        <f>IF(J41&lt;75,0,1)</f>
        <v>0</v>
      </c>
      <c r="L46" s="256">
        <f>IF(L41&gt;0,IF(M41&gt;0,1,0),0)</f>
        <v>1</v>
      </c>
      <c r="M46" s="288">
        <f t="shared" si="0"/>
        <v>0</v>
      </c>
      <c r="N46" s="256" t="str">
        <f t="shared" si="1"/>
        <v/>
      </c>
      <c r="O46" s="256">
        <f>M59</f>
        <v>5</v>
      </c>
      <c r="P46" s="256" t="str">
        <f t="shared" si="2"/>
        <v/>
      </c>
      <c r="Q46" s="256" t="str">
        <f t="shared" si="3"/>
        <v/>
      </c>
    </row>
    <row r="47" spans="1:18" ht="12.75" customHeight="1">
      <c r="A47" s="256">
        <v>5</v>
      </c>
      <c r="B47" s="285"/>
      <c r="C47" s="263" t="s">
        <v>2844</v>
      </c>
      <c r="D47" s="286" t="s">
        <v>2845</v>
      </c>
      <c r="E47" s="287">
        <f>IF(D41&lt;-13.9,IF(D41&gt;-32,1,0),0)</f>
        <v>0</v>
      </c>
      <c r="F47" s="263" t="s">
        <v>2832</v>
      </c>
      <c r="G47" s="288">
        <f>IF(F41&lt;5,1,0)</f>
        <v>1</v>
      </c>
      <c r="H47" s="286" t="s">
        <v>2846</v>
      </c>
      <c r="I47" s="287">
        <f>IF(H41&lt;20.1,IF(H41&gt;10,1,0),0)</f>
        <v>1</v>
      </c>
      <c r="J47" s="263" t="s">
        <v>2832</v>
      </c>
      <c r="K47" s="262">
        <f>IF(J41&lt;75,1,0)</f>
        <v>1</v>
      </c>
      <c r="L47" s="256">
        <f>IF(L41&gt;0,IF(M41&gt;0,0,1),1)</f>
        <v>0</v>
      </c>
      <c r="M47" s="288">
        <f t="shared" si="0"/>
        <v>0</v>
      </c>
      <c r="N47" s="256" t="str">
        <f t="shared" si="1"/>
        <v/>
      </c>
      <c r="O47" s="256">
        <f>M59</f>
        <v>5</v>
      </c>
      <c r="P47" s="256" t="str">
        <f t="shared" si="2"/>
        <v/>
      </c>
      <c r="Q47" s="256" t="str">
        <f t="shared" si="3"/>
        <v/>
      </c>
    </row>
    <row r="48" spans="1:18" ht="12.75" customHeight="1">
      <c r="A48" s="256">
        <v>6</v>
      </c>
      <c r="B48" s="285" t="s">
        <v>898</v>
      </c>
      <c r="C48" s="263" t="s">
        <v>2847</v>
      </c>
      <c r="D48" s="286" t="s">
        <v>2848</v>
      </c>
      <c r="E48" s="287">
        <f>IF(D41&lt;-3.9,IF(D41&gt;-14,1,0),0)</f>
        <v>1</v>
      </c>
      <c r="F48" s="263" t="s">
        <v>2836</v>
      </c>
      <c r="G48" s="288">
        <f>IF(F41&lt;5,0,1)</f>
        <v>0</v>
      </c>
      <c r="H48" s="286" t="s">
        <v>2849</v>
      </c>
      <c r="I48" s="287">
        <f>IF(H41&lt;12.1,IF(H41&gt;8,1,0),0)</f>
        <v>0</v>
      </c>
      <c r="J48" s="263" t="s">
        <v>2838</v>
      </c>
      <c r="K48" s="262">
        <f>IF(J41&lt;75,0,1)</f>
        <v>0</v>
      </c>
      <c r="L48" s="256">
        <f>IF(L41&gt;0,IF(M41&gt;0,1,0),0)</f>
        <v>1</v>
      </c>
      <c r="M48" s="288">
        <f t="shared" si="0"/>
        <v>2</v>
      </c>
      <c r="N48" s="256" t="str">
        <f t="shared" si="1"/>
        <v/>
      </c>
      <c r="O48" s="256">
        <f>M59</f>
        <v>5</v>
      </c>
      <c r="P48" s="256" t="str">
        <f t="shared" si="2"/>
        <v/>
      </c>
      <c r="Q48" s="256" t="str">
        <f t="shared" si="3"/>
        <v/>
      </c>
    </row>
    <row r="49" spans="1:23" ht="12.75" customHeight="1">
      <c r="A49" s="256">
        <v>7</v>
      </c>
      <c r="B49" s="285"/>
      <c r="C49" s="263" t="s">
        <v>2850</v>
      </c>
      <c r="D49" s="286" t="s">
        <v>2851</v>
      </c>
      <c r="E49" s="287">
        <f>IF(D41&lt;-2.9,IF(D41&gt;-5,1,0),0)</f>
        <v>0</v>
      </c>
      <c r="F49" s="263" t="s">
        <v>2836</v>
      </c>
      <c r="G49" s="288">
        <f>IF(F41&lt;5,0,1)</f>
        <v>0</v>
      </c>
      <c r="H49" s="286" t="s">
        <v>2841</v>
      </c>
      <c r="I49" s="287">
        <f>IF(H41&lt;21.1,IF(H41&gt;12,1,0),0)</f>
        <v>1</v>
      </c>
      <c r="J49" s="263" t="s">
        <v>2838</v>
      </c>
      <c r="K49" s="262">
        <f>IF(J41&lt;75,0,1)</f>
        <v>0</v>
      </c>
      <c r="L49" s="256">
        <f>IF(L41&gt;0,IF(M41&gt;0,1,0),0)</f>
        <v>1</v>
      </c>
      <c r="M49" s="288">
        <f t="shared" si="0"/>
        <v>0</v>
      </c>
      <c r="N49" s="256" t="str">
        <f t="shared" si="1"/>
        <v/>
      </c>
      <c r="O49" s="256">
        <f>M59</f>
        <v>5</v>
      </c>
      <c r="P49" s="256" t="str">
        <f t="shared" si="2"/>
        <v/>
      </c>
      <c r="Q49" s="256" t="str">
        <f t="shared" si="3"/>
        <v/>
      </c>
    </row>
    <row r="50" spans="1:23" ht="12.75" customHeight="1">
      <c r="A50" s="256">
        <v>8</v>
      </c>
      <c r="B50" s="285"/>
      <c r="C50" s="263" t="s">
        <v>2852</v>
      </c>
      <c r="D50" s="286" t="s">
        <v>2848</v>
      </c>
      <c r="E50" s="287">
        <f>IF(D41&lt;-3.9,IF(D41&gt;-14,1,0),0)</f>
        <v>1</v>
      </c>
      <c r="F50" s="263" t="s">
        <v>2832</v>
      </c>
      <c r="G50" s="288">
        <f>IF(F41&lt;5,1,0)</f>
        <v>1</v>
      </c>
      <c r="H50" s="286" t="s">
        <v>2841</v>
      </c>
      <c r="I50" s="287">
        <f>IF(H41&lt;21.1,IF(H41&gt;12,1,0),0)</f>
        <v>1</v>
      </c>
      <c r="J50" s="263" t="s">
        <v>2832</v>
      </c>
      <c r="K50" s="262">
        <f>IF(J41&lt;75,1,0)</f>
        <v>1</v>
      </c>
      <c r="L50" s="256">
        <f>IF(L41&gt;0,IF(M41&gt;0,1,0),0)</f>
        <v>1</v>
      </c>
      <c r="M50" s="288">
        <f t="shared" si="0"/>
        <v>5</v>
      </c>
      <c r="N50" s="256" t="str">
        <f t="shared" si="1"/>
        <v>IIВ</v>
      </c>
      <c r="O50" s="256">
        <f>M59</f>
        <v>5</v>
      </c>
      <c r="P50" s="256" t="str">
        <f t="shared" si="2"/>
        <v xml:space="preserve"> </v>
      </c>
      <c r="Q50" s="256" t="str">
        <f t="shared" si="3"/>
        <v xml:space="preserve">IIВ </v>
      </c>
    </row>
    <row r="51" spans="1:23" ht="12.75" customHeight="1">
      <c r="A51" s="256">
        <v>9</v>
      </c>
      <c r="B51" s="285"/>
      <c r="C51" s="263" t="s">
        <v>2853</v>
      </c>
      <c r="D51" s="286" t="s">
        <v>2854</v>
      </c>
      <c r="E51" s="287">
        <f>IF(D41&lt;-4.9,IF(D41&gt;-14,1,0),0)</f>
        <v>1</v>
      </c>
      <c r="F51" s="263" t="s">
        <v>2836</v>
      </c>
      <c r="G51" s="288">
        <f>IF(F41&lt;5,0,1)</f>
        <v>0</v>
      </c>
      <c r="H51" s="286" t="s">
        <v>2841</v>
      </c>
      <c r="I51" s="287">
        <f>IF(H41&lt;21.1,IF(H41&gt;12,1,0),0)</f>
        <v>1</v>
      </c>
      <c r="J51" s="263" t="s">
        <v>2838</v>
      </c>
      <c r="K51" s="262">
        <f>IF(J41&lt;75,0,1)</f>
        <v>0</v>
      </c>
      <c r="L51" s="256">
        <f>IF(L41&gt;0,IF(M41&gt;0,1,0),0)</f>
        <v>1</v>
      </c>
      <c r="M51" s="288">
        <f t="shared" si="0"/>
        <v>3</v>
      </c>
      <c r="N51" s="256" t="str">
        <f t="shared" si="1"/>
        <v/>
      </c>
      <c r="O51" s="256">
        <f>M59</f>
        <v>5</v>
      </c>
      <c r="P51" s="256" t="str">
        <f t="shared" si="2"/>
        <v/>
      </c>
      <c r="Q51" s="256" t="str">
        <f t="shared" si="3"/>
        <v/>
      </c>
    </row>
    <row r="52" spans="1:23" ht="12.75" customHeight="1">
      <c r="A52" s="256">
        <v>10</v>
      </c>
      <c r="B52" s="285" t="s">
        <v>899</v>
      </c>
      <c r="C52" s="263" t="s">
        <v>2855</v>
      </c>
      <c r="D52" s="286" t="s">
        <v>2856</v>
      </c>
      <c r="E52" s="287">
        <f>IF(D41&lt;-13.9,IF(D41&gt;-20,1,0),0)</f>
        <v>0</v>
      </c>
      <c r="F52" s="263" t="s">
        <v>2832</v>
      </c>
      <c r="G52" s="288">
        <f>IF(F41&lt;5,1,0)</f>
        <v>1</v>
      </c>
      <c r="H52" s="286" t="s">
        <v>2857</v>
      </c>
      <c r="I52" s="287">
        <f>IF(H41&lt;25.1,IF(H41&gt;21,1,0),0)</f>
        <v>0</v>
      </c>
      <c r="J52" s="263" t="s">
        <v>2832</v>
      </c>
      <c r="K52" s="262">
        <f>IF(J41&lt;75,1,0)</f>
        <v>1</v>
      </c>
      <c r="L52" s="256">
        <f>IF(L41&gt;0,IF(M41&gt;0,1,0),0)</f>
        <v>1</v>
      </c>
      <c r="M52" s="288">
        <f t="shared" si="0"/>
        <v>0</v>
      </c>
      <c r="N52" s="256" t="str">
        <f t="shared" si="1"/>
        <v/>
      </c>
      <c r="O52" s="256">
        <f>M59</f>
        <v>5</v>
      </c>
      <c r="P52" s="256" t="str">
        <f t="shared" si="2"/>
        <v/>
      </c>
      <c r="Q52" s="256" t="str">
        <f t="shared" si="3"/>
        <v/>
      </c>
    </row>
    <row r="53" spans="1:23" ht="12.75" customHeight="1">
      <c r="A53" s="256">
        <v>11</v>
      </c>
      <c r="B53" s="285"/>
      <c r="C53" s="263" t="s">
        <v>2858</v>
      </c>
      <c r="D53" s="286" t="s">
        <v>2859</v>
      </c>
      <c r="E53" s="287">
        <f>IF(D41&lt;2.1,IF(D41&gt;-5,1,0),0)</f>
        <v>0</v>
      </c>
      <c r="F53" s="263" t="s">
        <v>2832</v>
      </c>
      <c r="G53" s="288">
        <f>IF(F41&lt;5,1,0)</f>
        <v>1</v>
      </c>
      <c r="H53" s="286" t="s">
        <v>2857</v>
      </c>
      <c r="I53" s="287">
        <f>IF(H41&lt;25.1,IF(H41&gt;21,1,0),0)</f>
        <v>0</v>
      </c>
      <c r="J53" s="263" t="s">
        <v>2832</v>
      </c>
      <c r="K53" s="262">
        <f>IF(J41&lt;75,1,0)</f>
        <v>1</v>
      </c>
      <c r="L53" s="256">
        <f>IF(L41&gt;0,IF(M41&gt;0,1,0),0)</f>
        <v>1</v>
      </c>
      <c r="M53" s="288">
        <f t="shared" si="0"/>
        <v>0</v>
      </c>
      <c r="N53" s="256" t="str">
        <f t="shared" si="1"/>
        <v/>
      </c>
      <c r="O53" s="256">
        <f>M59</f>
        <v>5</v>
      </c>
      <c r="P53" s="256" t="str">
        <f t="shared" si="2"/>
        <v/>
      </c>
      <c r="Q53" s="256" t="str">
        <f t="shared" si="3"/>
        <v/>
      </c>
    </row>
    <row r="54" spans="1:23" ht="12.75" customHeight="1">
      <c r="A54" s="256">
        <v>12</v>
      </c>
      <c r="B54" s="285"/>
      <c r="C54" s="263" t="s">
        <v>2860</v>
      </c>
      <c r="D54" s="286" t="s">
        <v>2854</v>
      </c>
      <c r="E54" s="287">
        <f>IF(D41&lt;-4.9,IF(D41&gt;-14,1,0),0)</f>
        <v>1</v>
      </c>
      <c r="F54" s="263" t="s">
        <v>2832</v>
      </c>
      <c r="G54" s="288">
        <f>IF(F41&lt;5,1,0)</f>
        <v>1</v>
      </c>
      <c r="H54" s="286" t="s">
        <v>2857</v>
      </c>
      <c r="I54" s="287">
        <f>IF(H41&lt;25.1,IF(H41&gt;21,1,0),0)</f>
        <v>0</v>
      </c>
      <c r="J54" s="263" t="s">
        <v>2832</v>
      </c>
      <c r="K54" s="262">
        <f>IF(J41&lt;75,1,0)</f>
        <v>1</v>
      </c>
      <c r="L54" s="256">
        <f>IF(L41&gt;0,IF(M41&gt;0,1,0),0)</f>
        <v>1</v>
      </c>
      <c r="M54" s="288">
        <f t="shared" si="0"/>
        <v>4</v>
      </c>
      <c r="N54" s="256" t="str">
        <f t="shared" si="1"/>
        <v/>
      </c>
      <c r="O54" s="256">
        <f>M59</f>
        <v>5</v>
      </c>
      <c r="P54" s="256" t="str">
        <f t="shared" si="2"/>
        <v/>
      </c>
      <c r="Q54" s="256" t="str">
        <f t="shared" si="3"/>
        <v/>
      </c>
    </row>
    <row r="55" spans="1:23" ht="12.75" customHeight="1">
      <c r="A55" s="256">
        <v>13</v>
      </c>
      <c r="B55" s="285" t="s">
        <v>900</v>
      </c>
      <c r="C55" s="263" t="s">
        <v>2861</v>
      </c>
      <c r="D55" s="286" t="s">
        <v>2862</v>
      </c>
      <c r="E55" s="287">
        <f>IF(D41&lt;2.1,IF(D41&gt;-10,1,0),0)</f>
        <v>0</v>
      </c>
      <c r="F55" s="263" t="s">
        <v>2832</v>
      </c>
      <c r="G55" s="288">
        <f>IF(F41&lt;5,1,0)</f>
        <v>1</v>
      </c>
      <c r="H55" s="286" t="s">
        <v>2863</v>
      </c>
      <c r="I55" s="287">
        <f>IF(H41&lt;100,IF(H41&gt;28,1,0),0)</f>
        <v>0</v>
      </c>
      <c r="J55" s="263" t="s">
        <v>2832</v>
      </c>
      <c r="K55" s="262">
        <f>IF(J41&lt;75,1,0)</f>
        <v>1</v>
      </c>
      <c r="L55" s="256">
        <f>IF(L41&gt;0,IF(M41&gt;0,1,0),0)</f>
        <v>1</v>
      </c>
      <c r="M55" s="288">
        <f t="shared" si="0"/>
        <v>0</v>
      </c>
      <c r="N55" s="256" t="str">
        <f t="shared" si="1"/>
        <v/>
      </c>
      <c r="O55" s="256">
        <f>M59</f>
        <v>5</v>
      </c>
      <c r="P55" s="256" t="str">
        <f t="shared" si="2"/>
        <v/>
      </c>
      <c r="Q55" s="256" t="str">
        <f t="shared" si="3"/>
        <v/>
      </c>
    </row>
    <row r="56" spans="1:23" ht="12.75" customHeight="1">
      <c r="A56" s="256">
        <v>14</v>
      </c>
      <c r="B56" s="285"/>
      <c r="C56" s="263" t="s">
        <v>2864</v>
      </c>
      <c r="D56" s="286" t="s">
        <v>2865</v>
      </c>
      <c r="E56" s="287">
        <f>IF(D41&lt;26.1,IF(D41&gt;2,1,0),0)</f>
        <v>0</v>
      </c>
      <c r="F56" s="263" t="s">
        <v>2832</v>
      </c>
      <c r="G56" s="288">
        <f>IF(F41&lt;5,1,0)</f>
        <v>1</v>
      </c>
      <c r="H56" s="286" t="s">
        <v>2866</v>
      </c>
      <c r="I56" s="287">
        <f>IF(H41&lt;28.1,IF(H41&gt;22,1,0),0)</f>
        <v>0</v>
      </c>
      <c r="J56" s="263" t="s">
        <v>2867</v>
      </c>
      <c r="K56" s="263">
        <f>IF(K41&lt;50,0,1)</f>
        <v>1</v>
      </c>
      <c r="L56" s="263">
        <f>IF(L41&gt;0,IF(M41&gt;0,1,0),0)</f>
        <v>1</v>
      </c>
      <c r="M56" s="288">
        <f t="shared" si="0"/>
        <v>0</v>
      </c>
      <c r="N56" s="256" t="str">
        <f t="shared" si="1"/>
        <v/>
      </c>
      <c r="O56" s="256">
        <f>M59</f>
        <v>5</v>
      </c>
      <c r="P56" s="256" t="str">
        <f t="shared" si="2"/>
        <v/>
      </c>
      <c r="Q56" s="256" t="str">
        <f t="shared" si="3"/>
        <v/>
      </c>
    </row>
    <row r="57" spans="1:23" ht="12.75" customHeight="1">
      <c r="A57" s="256">
        <v>15</v>
      </c>
      <c r="B57" s="285"/>
      <c r="C57" s="263" t="s">
        <v>2868</v>
      </c>
      <c r="D57" s="286" t="s">
        <v>2869</v>
      </c>
      <c r="E57" s="287">
        <f>IF(D41&lt;2.1,IF(D41&gt;0,1,0),0)</f>
        <v>0</v>
      </c>
      <c r="F57" s="263" t="s">
        <v>2832</v>
      </c>
      <c r="G57" s="288">
        <f>IF(F41&lt;5,1,0)</f>
        <v>1</v>
      </c>
      <c r="H57" s="286" t="s">
        <v>2870</v>
      </c>
      <c r="I57" s="287">
        <f>IF(H41&lt;28.1,IF(H41&gt;25,1,0),0)</f>
        <v>0</v>
      </c>
      <c r="J57" s="263" t="s">
        <v>2832</v>
      </c>
      <c r="K57" s="262">
        <f>IF(J41&lt;75,1,0)</f>
        <v>1</v>
      </c>
      <c r="L57" s="256">
        <f>IF(L41&gt;0,IF(M41&gt;0,1,0),0)</f>
        <v>1</v>
      </c>
      <c r="M57" s="288">
        <f t="shared" si="0"/>
        <v>0</v>
      </c>
      <c r="N57" s="256" t="str">
        <f t="shared" si="1"/>
        <v/>
      </c>
      <c r="O57" s="256">
        <f>M59</f>
        <v>5</v>
      </c>
      <c r="P57" s="256" t="str">
        <f t="shared" si="2"/>
        <v/>
      </c>
      <c r="Q57" s="256" t="str">
        <f t="shared" si="3"/>
        <v/>
      </c>
    </row>
    <row r="58" spans="1:23" ht="12.75" customHeight="1" thickBot="1">
      <c r="A58" s="256">
        <v>16</v>
      </c>
      <c r="B58" s="285"/>
      <c r="C58" s="263" t="s">
        <v>2871</v>
      </c>
      <c r="D58" s="286" t="s">
        <v>2872</v>
      </c>
      <c r="E58" s="287">
        <f>IF(D41&lt;0.1,IF(D41&gt;-114.9,1,0),0)</f>
        <v>1</v>
      </c>
      <c r="F58" s="263" t="s">
        <v>2832</v>
      </c>
      <c r="G58" s="288">
        <f>IF(F41&lt;5,1,0)</f>
        <v>1</v>
      </c>
      <c r="H58" s="286" t="s">
        <v>2870</v>
      </c>
      <c r="I58" s="287">
        <f>IF(H41&lt;28.1,IF(H41&gt;25,1,0),0)</f>
        <v>0</v>
      </c>
      <c r="J58" s="263" t="s">
        <v>2832</v>
      </c>
      <c r="K58" s="262">
        <f>IF(J41&lt;75,1,0)</f>
        <v>1</v>
      </c>
      <c r="L58" s="256">
        <f>IF(L41&gt;0,IF(M41&gt;0,1,0),0)</f>
        <v>1</v>
      </c>
      <c r="M58" s="288">
        <f t="shared" si="0"/>
        <v>4</v>
      </c>
      <c r="N58" s="256" t="str">
        <f t="shared" si="1"/>
        <v/>
      </c>
      <c r="O58" s="256">
        <f>M59</f>
        <v>5</v>
      </c>
      <c r="P58" s="256" t="str">
        <f t="shared" si="2"/>
        <v/>
      </c>
      <c r="Q58" s="256" t="str">
        <f t="shared" si="3"/>
        <v/>
      </c>
    </row>
    <row r="59" spans="1:23" ht="36" customHeight="1" thickBot="1">
      <c r="B59" s="977" t="s">
        <v>2873</v>
      </c>
      <c r="C59" s="978"/>
      <c r="D59" s="978"/>
      <c r="E59" s="978"/>
      <c r="F59" s="978"/>
      <c r="G59" s="978"/>
      <c r="H59" s="978"/>
      <c r="I59" s="978"/>
      <c r="J59" s="979"/>
      <c r="K59" s="289"/>
      <c r="M59" s="256">
        <f>MAX(M43:M58)</f>
        <v>5</v>
      </c>
      <c r="Q59" s="281" t="str">
        <f>CONCATENATE(Q43,Q44,Q45,Q46,Q47)</f>
        <v/>
      </c>
      <c r="R59" s="281" t="str">
        <f>CONCATENATE(Q59,Q48,Q49,Q50,Q51)</f>
        <v xml:space="preserve">IIВ </v>
      </c>
      <c r="S59" s="281" t="str">
        <f>CONCATENATE(R59,Q52,Q53,Q54,Q55)</f>
        <v xml:space="preserve">IIВ </v>
      </c>
      <c r="T59" s="281" t="str">
        <f>CONCATENATE(S59,Q56,Q57,Q58)</f>
        <v xml:space="preserve">IIВ </v>
      </c>
      <c r="U59" s="281"/>
      <c r="V59" s="281"/>
      <c r="W59" s="281"/>
    </row>
  </sheetData>
  <mergeCells count="9">
    <mergeCell ref="B59:J59"/>
    <mergeCell ref="C17:J17"/>
    <mergeCell ref="C18:J18"/>
    <mergeCell ref="C19:J19"/>
    <mergeCell ref="B20:B21"/>
    <mergeCell ref="C20:C21"/>
    <mergeCell ref="D20:D21"/>
    <mergeCell ref="E20:E21"/>
    <mergeCell ref="F20:F21"/>
  </mergeCells>
  <pageMargins left="0.7" right="0.7" top="0.75" bottom="0.75" header="0.3" footer="0.3"/>
  <pageSetup paperSize="9" orientation="portrait" verticalDpi="1200" r:id="rId1"/>
  <legacyDrawing r:id="rId2"/>
  <oleObjects>
    <oleObject progId="Equation.3" shapeId="8193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33</vt:i4>
      </vt:variant>
    </vt:vector>
  </HeadingPairs>
  <TitlesOfParts>
    <vt:vector size="41" baseType="lpstr">
      <vt:lpstr>Заявка</vt:lpstr>
      <vt:lpstr>закулисье</vt:lpstr>
      <vt:lpstr>узлы</vt:lpstr>
      <vt:lpstr>из города</vt:lpstr>
      <vt:lpstr>Болтогайкокалькулятор</vt:lpstr>
      <vt:lpstr>Фундамент</vt:lpstr>
      <vt:lpstr>Ср.мес.Т</vt:lpstr>
      <vt:lpstr>фундамент закулисье</vt:lpstr>
      <vt:lpstr>узлы!_3005.html?lang_ru</vt:lpstr>
      <vt:lpstr>Заявка!Print_Area</vt:lpstr>
      <vt:lpstr>Фундамент!Print_Area</vt:lpstr>
      <vt:lpstr>узлы!www.cbr.ru</vt:lpstr>
      <vt:lpstr>Болтогайкокалькулятор!гайка</vt:lpstr>
      <vt:lpstr>гайка</vt:lpstr>
      <vt:lpstr>грн</vt:lpstr>
      <vt:lpstr>Болтогайкокалькулятор!заголовки</vt:lpstr>
      <vt:lpstr>заголовки</vt:lpstr>
      <vt:lpstr>Заголовки2</vt:lpstr>
      <vt:lpstr>кг</vt:lpstr>
      <vt:lpstr>кг3</vt:lpstr>
      <vt:lpstr>количество</vt:lpstr>
      <vt:lpstr>количество3</vt:lpstr>
      <vt:lpstr>руб</vt:lpstr>
      <vt:lpstr>скобы2</vt:lpstr>
      <vt:lpstr>Болтогайкокалькулятор!список</vt:lpstr>
      <vt:lpstr>список</vt:lpstr>
      <vt:lpstr>Болтогайкокалькулятор!тип</vt:lpstr>
      <vt:lpstr>тип</vt:lpstr>
      <vt:lpstr>Тип2</vt:lpstr>
      <vt:lpstr>тип3</vt:lpstr>
      <vt:lpstr>Болтогайкокалькулятор!узлы</vt:lpstr>
      <vt:lpstr>узлы</vt:lpstr>
      <vt:lpstr>Болтогайкокалькулятор!х150</vt:lpstr>
      <vt:lpstr>х150</vt:lpstr>
      <vt:lpstr>Болтогайкокалькулятор!х70</vt:lpstr>
      <vt:lpstr>х70</vt:lpstr>
      <vt:lpstr>Болтогайкокалькулятор!шайба</vt:lpstr>
      <vt:lpstr>шайба</vt:lpstr>
      <vt:lpstr>ящ.скоб</vt:lpstr>
      <vt:lpstr>ящ.труб</vt:lpstr>
      <vt:lpstr>ящики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Test Document</dc:title>
  <dc:subject>Office 2007 XLSX Test Document</dc:subject>
  <dc:creator>Продайко Роман</dc:creator>
  <cp:keywords>office 2007 openxml php</cp:keywords>
  <dc:description>Test document for Office 2007 XLSX, generated using PHP classes.</dc:description>
  <cp:lastModifiedBy>Роман</cp:lastModifiedBy>
  <cp:lastPrinted>2016-05-12T00:18:23Z</cp:lastPrinted>
  <dcterms:created xsi:type="dcterms:W3CDTF">2015-04-16T12:26:12Z</dcterms:created>
  <dcterms:modified xsi:type="dcterms:W3CDTF">2016-05-21T19:33:23Z</dcterms:modified>
  <cp:category>Test result file</cp:category>
</cp:coreProperties>
</file>