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3395" windowHeight="5160"/>
  </bookViews>
  <sheets>
    <sheet name="Лист1" sheetId="1" r:id="rId1"/>
    <sheet name="Лист2" sheetId="2" r:id="rId2"/>
    <sheet name="сведения о материалах" sheetId="3" r:id="rId3"/>
  </sheets>
  <calcPr calcId="125725"/>
</workbook>
</file>

<file path=xl/calcChain.xml><?xml version="1.0" encoding="utf-8"?>
<calcChain xmlns="http://schemas.openxmlformats.org/spreadsheetml/2006/main">
  <c r="K187" i="1"/>
  <c r="J187"/>
  <c r="F187"/>
  <c r="G186"/>
  <c r="G185"/>
  <c r="G184"/>
  <c r="G187" s="1"/>
  <c r="F177"/>
  <c r="E177"/>
  <c r="D177"/>
  <c r="C177"/>
  <c r="E172"/>
  <c r="I172" s="1"/>
  <c r="D172"/>
  <c r="H172" s="1"/>
  <c r="C172"/>
  <c r="G172" s="1"/>
  <c r="E171"/>
  <c r="I171" s="1"/>
  <c r="D171"/>
  <c r="H171" s="1"/>
  <c r="C171"/>
  <c r="G171" s="1"/>
  <c r="E170"/>
  <c r="I170" s="1"/>
  <c r="D170"/>
  <c r="H170" s="1"/>
  <c r="C170"/>
  <c r="G170" s="1"/>
  <c r="E169"/>
  <c r="I169" s="1"/>
  <c r="D169"/>
  <c r="H169" s="1"/>
  <c r="C169"/>
  <c r="G169" s="1"/>
  <c r="E168"/>
  <c r="I168" s="1"/>
  <c r="D168"/>
  <c r="H168" s="1"/>
  <c r="C168"/>
  <c r="G168" s="1"/>
  <c r="E167"/>
  <c r="I167" s="1"/>
  <c r="D167"/>
  <c r="H167" s="1"/>
  <c r="C167"/>
  <c r="G167" s="1"/>
  <c r="E166"/>
  <c r="I166" s="1"/>
  <c r="D166"/>
  <c r="H166" s="1"/>
  <c r="C166"/>
  <c r="G166" s="1"/>
  <c r="E165"/>
  <c r="I165" s="1"/>
  <c r="D165"/>
  <c r="H165" s="1"/>
  <c r="C165"/>
  <c r="G165" s="1"/>
  <c r="E164"/>
  <c r="I164" s="1"/>
  <c r="I177" s="1"/>
  <c r="I179" s="1"/>
  <c r="I180" s="1"/>
  <c r="D164"/>
  <c r="H164" s="1"/>
  <c r="C164"/>
  <c r="G164" s="1"/>
  <c r="G177" s="1"/>
  <c r="G179" s="1"/>
  <c r="G180" s="1"/>
  <c r="I163"/>
  <c r="H163"/>
  <c r="G163"/>
  <c r="F147"/>
  <c r="E142"/>
  <c r="I142" s="1"/>
  <c r="E141"/>
  <c r="I141" s="1"/>
  <c r="E140"/>
  <c r="I140" s="1"/>
  <c r="E139"/>
  <c r="I139" s="1"/>
  <c r="E138"/>
  <c r="I138" s="1"/>
  <c r="E137"/>
  <c r="I137" s="1"/>
  <c r="E136"/>
  <c r="I136" s="1"/>
  <c r="E135"/>
  <c r="I135" s="1"/>
  <c r="E134"/>
  <c r="I134" s="1"/>
  <c r="D142"/>
  <c r="H142" s="1"/>
  <c r="D141"/>
  <c r="H141" s="1"/>
  <c r="D140"/>
  <c r="H140" s="1"/>
  <c r="D139"/>
  <c r="H139" s="1"/>
  <c r="D138"/>
  <c r="H138" s="1"/>
  <c r="D137"/>
  <c r="H137" s="1"/>
  <c r="D136"/>
  <c r="H136" s="1"/>
  <c r="D135"/>
  <c r="H135" s="1"/>
  <c r="D134"/>
  <c r="H134" s="1"/>
  <c r="C142"/>
  <c r="G142" s="1"/>
  <c r="C141"/>
  <c r="G141" s="1"/>
  <c r="C140"/>
  <c r="G140" s="1"/>
  <c r="C139"/>
  <c r="G139" s="1"/>
  <c r="C138"/>
  <c r="G138" s="1"/>
  <c r="C137"/>
  <c r="G137" s="1"/>
  <c r="C136"/>
  <c r="G136" s="1"/>
  <c r="C135"/>
  <c r="G135" s="1"/>
  <c r="C134"/>
  <c r="G134" s="1"/>
  <c r="G156"/>
  <c r="G155"/>
  <c r="G154"/>
  <c r="F157"/>
  <c r="E147"/>
  <c r="D147"/>
  <c r="C147"/>
  <c r="I133"/>
  <c r="H133"/>
  <c r="G133"/>
  <c r="F126"/>
  <c r="G125"/>
  <c r="G124"/>
  <c r="G123"/>
  <c r="F116"/>
  <c r="E116"/>
  <c r="D116"/>
  <c r="C116"/>
  <c r="E115"/>
  <c r="I115" s="1"/>
  <c r="D115"/>
  <c r="H115" s="1"/>
  <c r="C115"/>
  <c r="G115" s="1"/>
  <c r="E114"/>
  <c r="I114" s="1"/>
  <c r="D114"/>
  <c r="H114" s="1"/>
  <c r="C114"/>
  <c r="G114" s="1"/>
  <c r="I112"/>
  <c r="H112"/>
  <c r="G112"/>
  <c r="E113"/>
  <c r="I113" s="1"/>
  <c r="D113"/>
  <c r="H113" s="1"/>
  <c r="C113"/>
  <c r="G113" s="1"/>
  <c r="O48"/>
  <c r="E40"/>
  <c r="E39"/>
  <c r="E38"/>
  <c r="E69"/>
  <c r="E68"/>
  <c r="E67"/>
  <c r="H177" l="1"/>
  <c r="H179" s="1"/>
  <c r="H180" s="1"/>
  <c r="G157"/>
  <c r="G147"/>
  <c r="G149" s="1"/>
  <c r="G150" s="1"/>
  <c r="I147"/>
  <c r="I149" s="1"/>
  <c r="I150" s="1"/>
  <c r="H147"/>
  <c r="H149" s="1"/>
  <c r="H150" s="1"/>
  <c r="H116"/>
  <c r="H118" s="1"/>
  <c r="H119" s="1"/>
  <c r="E70"/>
  <c r="G126"/>
  <c r="G116"/>
  <c r="G118" s="1"/>
  <c r="G119" s="1"/>
  <c r="I116"/>
  <c r="I118" s="1"/>
  <c r="I119" s="1"/>
  <c r="E41"/>
  <c r="F24"/>
  <c r="G65"/>
  <c r="I60"/>
  <c r="H60"/>
  <c r="G60"/>
  <c r="E56"/>
  <c r="D56"/>
  <c r="C56"/>
  <c r="F55"/>
  <c r="E54"/>
  <c r="I54" s="1"/>
  <c r="D54"/>
  <c r="H54" s="1"/>
  <c r="C54"/>
  <c r="G54" s="1"/>
  <c r="E53"/>
  <c r="I53" s="1"/>
  <c r="D53"/>
  <c r="H53" s="1"/>
  <c r="C53"/>
  <c r="G53" s="1"/>
  <c r="E52"/>
  <c r="I52" s="1"/>
  <c r="D52"/>
  <c r="H52" s="1"/>
  <c r="C52"/>
  <c r="G52" s="1"/>
  <c r="E51"/>
  <c r="I51" s="1"/>
  <c r="D51"/>
  <c r="H51" s="1"/>
  <c r="C51"/>
  <c r="G51" s="1"/>
  <c r="E50"/>
  <c r="I50" s="1"/>
  <c r="D50"/>
  <c r="H50" s="1"/>
  <c r="C50"/>
  <c r="G50" s="1"/>
  <c r="E49"/>
  <c r="I49" s="1"/>
  <c r="D49"/>
  <c r="H49" s="1"/>
  <c r="C49"/>
  <c r="G49" s="1"/>
  <c r="E48"/>
  <c r="I48" s="1"/>
  <c r="D48"/>
  <c r="H48" s="1"/>
  <c r="C48"/>
  <c r="G48" s="1"/>
  <c r="E47"/>
  <c r="I47" s="1"/>
  <c r="D47"/>
  <c r="H47" s="1"/>
  <c r="C47"/>
  <c r="G47" s="1"/>
  <c r="E46"/>
  <c r="I46" s="1"/>
  <c r="D46"/>
  <c r="H46" s="1"/>
  <c r="C46"/>
  <c r="G46" s="1"/>
  <c r="I45"/>
  <c r="I57" s="1"/>
  <c r="H45"/>
  <c r="H57" s="1"/>
  <c r="G45"/>
  <c r="G57" s="1"/>
  <c r="N44"/>
  <c r="N57" s="1"/>
  <c r="M44"/>
  <c r="M47" s="1"/>
  <c r="L44"/>
  <c r="L57" s="1"/>
  <c r="G56" l="1"/>
  <c r="L56" s="1"/>
  <c r="L58" s="1"/>
  <c r="M57"/>
  <c r="G55"/>
  <c r="L59" s="1"/>
  <c r="I55"/>
  <c r="N59" s="1"/>
  <c r="M49"/>
  <c r="H61" s="1"/>
  <c r="H62" s="1"/>
  <c r="M51"/>
  <c r="M53"/>
  <c r="I56"/>
  <c r="N56" s="1"/>
  <c r="N58" s="1"/>
  <c r="L60"/>
  <c r="N60"/>
  <c r="M52"/>
  <c r="M55" s="1"/>
  <c r="M50"/>
  <c r="H55"/>
  <c r="L47"/>
  <c r="N47"/>
  <c r="L49"/>
  <c r="N49"/>
  <c r="I61" s="1"/>
  <c r="I62" s="1"/>
  <c r="L51"/>
  <c r="N51"/>
  <c r="L53"/>
  <c r="N53"/>
  <c r="H56"/>
  <c r="M56" s="1"/>
  <c r="I58" l="1"/>
  <c r="I59" s="1"/>
  <c r="I63" s="1"/>
  <c r="G61"/>
  <c r="G62" s="1"/>
  <c r="O49"/>
  <c r="G58"/>
  <c r="G59" s="1"/>
  <c r="G63" s="1"/>
  <c r="M58"/>
  <c r="L52"/>
  <c r="L55" s="1"/>
  <c r="L50"/>
  <c r="N52"/>
  <c r="N55" s="1"/>
  <c r="N50"/>
  <c r="M60"/>
  <c r="M59"/>
  <c r="H58"/>
  <c r="H59" s="1"/>
  <c r="H63" s="1"/>
  <c r="E23" l="1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D23"/>
  <c r="H23" s="1"/>
  <c r="D22"/>
  <c r="H22" s="1"/>
  <c r="D21"/>
  <c r="H21" s="1"/>
  <c r="D20"/>
  <c r="H20" s="1"/>
  <c r="D19"/>
  <c r="H19" s="1"/>
  <c r="D18"/>
  <c r="H18" s="1"/>
  <c r="D17"/>
  <c r="H17" s="1"/>
  <c r="D16"/>
  <c r="H16" s="1"/>
  <c r="D15"/>
  <c r="H15" s="1"/>
  <c r="D14"/>
  <c r="H14" s="1"/>
  <c r="D13"/>
  <c r="H13" s="1"/>
  <c r="D4"/>
  <c r="E4"/>
  <c r="I4" s="1"/>
  <c r="D5"/>
  <c r="E5"/>
  <c r="I5" s="1"/>
  <c r="D6"/>
  <c r="E6"/>
  <c r="I6" s="1"/>
  <c r="D7"/>
  <c r="E7"/>
  <c r="I7" s="1"/>
  <c r="D8"/>
  <c r="E8"/>
  <c r="I8" s="1"/>
  <c r="D9"/>
  <c r="E9"/>
  <c r="I9" s="1"/>
  <c r="D10"/>
  <c r="E10"/>
  <c r="I10" s="1"/>
  <c r="D11"/>
  <c r="E11"/>
  <c r="I11" s="1"/>
  <c r="D12"/>
  <c r="E12"/>
  <c r="I12" s="1"/>
  <c r="C23"/>
  <c r="G23" s="1"/>
  <c r="C22"/>
  <c r="G22" s="1"/>
  <c r="C21"/>
  <c r="G21" s="1"/>
  <c r="C20"/>
  <c r="G20" s="1"/>
  <c r="C19"/>
  <c r="G19" s="1"/>
  <c r="C18"/>
  <c r="G18" s="1"/>
  <c r="C17"/>
  <c r="G17" s="1"/>
  <c r="C16"/>
  <c r="G16" s="1"/>
  <c r="C15"/>
  <c r="G15" s="1"/>
  <c r="C14"/>
  <c r="G14" s="1"/>
  <c r="C13"/>
  <c r="G13" s="1"/>
  <c r="C12"/>
  <c r="G12" s="1"/>
  <c r="G34"/>
  <c r="F84"/>
  <c r="I77"/>
  <c r="H77"/>
  <c r="G77"/>
  <c r="H3"/>
  <c r="I3"/>
  <c r="G3"/>
  <c r="N2"/>
  <c r="M2"/>
  <c r="F93"/>
  <c r="G92"/>
  <c r="G91"/>
  <c r="G90"/>
  <c r="E83"/>
  <c r="D83"/>
  <c r="C83"/>
  <c r="E82"/>
  <c r="I83" s="1"/>
  <c r="D82"/>
  <c r="H83" s="1"/>
  <c r="C82"/>
  <c r="G83" s="1"/>
  <c r="E81"/>
  <c r="I82" s="1"/>
  <c r="D81"/>
  <c r="H82" s="1"/>
  <c r="C81"/>
  <c r="G82" s="1"/>
  <c r="E80"/>
  <c r="I81" s="1"/>
  <c r="D80"/>
  <c r="H81" s="1"/>
  <c r="C80"/>
  <c r="G81" s="1"/>
  <c r="E79"/>
  <c r="I80" s="1"/>
  <c r="D79"/>
  <c r="H80" s="1"/>
  <c r="C79"/>
  <c r="G80" s="1"/>
  <c r="E78"/>
  <c r="I79" s="1"/>
  <c r="D78"/>
  <c r="H79" s="1"/>
  <c r="C78"/>
  <c r="G79" s="1"/>
  <c r="E77"/>
  <c r="I78" s="1"/>
  <c r="D77"/>
  <c r="H78" s="1"/>
  <c r="C77"/>
  <c r="G78" s="1"/>
  <c r="F41"/>
  <c r="C41" s="1"/>
  <c r="D41" s="1"/>
  <c r="G40"/>
  <c r="H40" s="1"/>
  <c r="G39"/>
  <c r="H39" s="1"/>
  <c r="G38"/>
  <c r="L5"/>
  <c r="L21" s="1"/>
  <c r="C25"/>
  <c r="E25"/>
  <c r="D25"/>
  <c r="H4"/>
  <c r="C11"/>
  <c r="G11" s="1"/>
  <c r="C10"/>
  <c r="G10" s="1"/>
  <c r="C9"/>
  <c r="G9" s="1"/>
  <c r="C8"/>
  <c r="G8" s="1"/>
  <c r="C7"/>
  <c r="G7" s="1"/>
  <c r="C6"/>
  <c r="G6" s="1"/>
  <c r="C5"/>
  <c r="G5" s="1"/>
  <c r="C4"/>
  <c r="D24" l="1"/>
  <c r="G4"/>
  <c r="C24"/>
  <c r="E24"/>
  <c r="G41"/>
  <c r="G29" s="1"/>
  <c r="M9"/>
  <c r="G25"/>
  <c r="G24"/>
  <c r="H25"/>
  <c r="L9"/>
  <c r="N9"/>
  <c r="I26"/>
  <c r="N25" s="1"/>
  <c r="I24"/>
  <c r="I40"/>
  <c r="I25"/>
  <c r="I38"/>
  <c r="G26"/>
  <c r="L25" s="1"/>
  <c r="I39"/>
  <c r="I41" s="1"/>
  <c r="I29" s="1"/>
  <c r="S39" s="1"/>
  <c r="H38"/>
  <c r="H41" s="1"/>
  <c r="H29" s="1"/>
  <c r="H26"/>
  <c r="M25" s="1"/>
  <c r="N26"/>
  <c r="N5"/>
  <c r="M26"/>
  <c r="L26"/>
  <c r="L8"/>
  <c r="K78"/>
  <c r="L78" s="1"/>
  <c r="K80"/>
  <c r="L80" s="1"/>
  <c r="K82"/>
  <c r="L82" s="1"/>
  <c r="K77"/>
  <c r="L77" s="1"/>
  <c r="K79"/>
  <c r="L79" s="1"/>
  <c r="K81"/>
  <c r="L81" s="1"/>
  <c r="M7"/>
  <c r="H30" s="1"/>
  <c r="H31" s="1"/>
  <c r="M22"/>
  <c r="N7"/>
  <c r="I30" s="1"/>
  <c r="I31" s="1"/>
  <c r="N22"/>
  <c r="L22"/>
  <c r="L24"/>
  <c r="M5"/>
  <c r="L7"/>
  <c r="G30" s="1"/>
  <c r="G31" s="1"/>
  <c r="G84"/>
  <c r="G86" s="1"/>
  <c r="G87" s="1"/>
  <c r="I84"/>
  <c r="I86" s="1"/>
  <c r="I87" s="1"/>
  <c r="G93"/>
  <c r="H84"/>
  <c r="H86" s="1"/>
  <c r="H87" s="1"/>
  <c r="H5"/>
  <c r="H6"/>
  <c r="O3" l="1"/>
  <c r="G27"/>
  <c r="G28" s="1"/>
  <c r="G32" s="1"/>
  <c r="N27"/>
  <c r="M27"/>
  <c r="I27"/>
  <c r="I28" s="1"/>
  <c r="I32" s="1"/>
  <c r="R39"/>
  <c r="Q39"/>
  <c r="L27"/>
  <c r="M21"/>
  <c r="M24" s="1"/>
  <c r="M8"/>
  <c r="Q37"/>
  <c r="Q38"/>
  <c r="S37"/>
  <c r="S38"/>
  <c r="L29"/>
  <c r="L28"/>
  <c r="Q36"/>
  <c r="N29"/>
  <c r="N28"/>
  <c r="S36"/>
  <c r="N21"/>
  <c r="N24" s="1"/>
  <c r="N8"/>
  <c r="H7"/>
  <c r="H8" l="1"/>
  <c r="H9" l="1"/>
  <c r="H10" l="1"/>
  <c r="H12" l="1"/>
  <c r="H11"/>
  <c r="H24" l="1"/>
  <c r="H27" s="1"/>
  <c r="H28" s="1"/>
  <c r="H32" s="1"/>
  <c r="P32" l="1"/>
  <c r="P34"/>
  <c r="R37"/>
  <c r="R38"/>
  <c r="R36"/>
  <c r="M29"/>
  <c r="M28"/>
</calcChain>
</file>

<file path=xl/sharedStrings.xml><?xml version="1.0" encoding="utf-8"?>
<sst xmlns="http://schemas.openxmlformats.org/spreadsheetml/2006/main" count="235" uniqueCount="83">
  <si>
    <t>Ребра</t>
  </si>
  <si>
    <t>Коэффициенты</t>
  </si>
  <si>
    <t>Количество для 1/2</t>
  </si>
  <si>
    <t>Суммарная длина для</t>
  </si>
  <si>
    <t>A</t>
  </si>
  <si>
    <t>B</t>
  </si>
  <si>
    <t>C</t>
  </si>
  <si>
    <t>D</t>
  </si>
  <si>
    <t>E</t>
  </si>
  <si>
    <t>F</t>
  </si>
  <si>
    <t>G</t>
  </si>
  <si>
    <t>H</t>
  </si>
  <si>
    <t>I</t>
  </si>
  <si>
    <t>ИТОГО</t>
  </si>
  <si>
    <t>4-х конечный коннектор</t>
  </si>
  <si>
    <t>5-ти конечный коннектор</t>
  </si>
  <si>
    <t>6-ти конечный коннектор</t>
  </si>
  <si>
    <t>Длина элемента для R</t>
  </si>
  <si>
    <t>Площадь по основанию</t>
  </si>
  <si>
    <t xml:space="preserve">площадь </t>
  </si>
  <si>
    <t>полуперегородка</t>
  </si>
  <si>
    <t>купол</t>
  </si>
  <si>
    <t>Труба ст. квадрат</t>
  </si>
  <si>
    <t>Вес трубы</t>
  </si>
  <si>
    <t>Стоимость конструкции</t>
  </si>
  <si>
    <t>Стоимость М2</t>
  </si>
  <si>
    <t>концевики кол-во</t>
  </si>
  <si>
    <t>итого</t>
  </si>
  <si>
    <t>4V</t>
  </si>
  <si>
    <t>Расчет элементов купола 1/2 , 6V</t>
  </si>
  <si>
    <t>длина грядки</t>
  </si>
  <si>
    <t>площадь грядки</t>
  </si>
  <si>
    <t>диаметр площадки обслуживания</t>
  </si>
  <si>
    <t>ее площадь</t>
  </si>
  <si>
    <t>кол-во эл</t>
  </si>
  <si>
    <t>кол-во досок</t>
  </si>
  <si>
    <t>1-го этажа</t>
  </si>
  <si>
    <t>объем внутри</t>
  </si>
  <si>
    <t>объем утеплителя</t>
  </si>
  <si>
    <t>объем строения</t>
  </si>
  <si>
    <t xml:space="preserve"> доска толщина</t>
  </si>
  <si>
    <t xml:space="preserve"> доска ширина</t>
  </si>
  <si>
    <t xml:space="preserve"> доска объем</t>
  </si>
  <si>
    <t>Стоимость кон-ции дерево руб</t>
  </si>
  <si>
    <t>Стоимость коннекторов</t>
  </si>
  <si>
    <t>площадь фанеры</t>
  </si>
  <si>
    <t>стоимость фанеры руб</t>
  </si>
  <si>
    <t>стоимость опалубки</t>
  </si>
  <si>
    <t>объем бетона</t>
  </si>
  <si>
    <t>стоимость бетона</t>
  </si>
  <si>
    <t>пов-ть (остекления)</t>
  </si>
  <si>
    <t>Купол 6V</t>
  </si>
  <si>
    <r>
      <t>Углы между ребрами</t>
    </r>
    <r>
      <rPr>
        <sz val="8.5"/>
        <color rgb="FF444444"/>
        <rFont val="Verdana"/>
        <family val="2"/>
        <charset val="204"/>
      </rPr>
      <t> (между "лепестками" коннекторов) легко вычисляются по заданным сторонам треугольников.</t>
    </r>
  </si>
  <si>
    <r>
      <t>Приблизительные значения углов апроксимации</t>
    </r>
    <r>
      <rPr>
        <sz val="8.5"/>
        <color rgb="FF444444"/>
        <rFont val="Verdana"/>
        <family val="2"/>
        <charset val="204"/>
      </rPr>
      <t>, в которых сходятся ребра геодезического купола на его вершинах: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</si>
  <si>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1V купол - А=32º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</si>
  <si>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2V купол - A=18º, B=16º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</si>
  <si>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3V купол - A=10º, B=12º, С=12º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</si>
  <si>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4V купол - A, B, С, D, E, F - 7-9º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</si>
  <si>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5V купол - A, B, С, D, E, F, G, H, I - 6-7º</t>
    </r>
  </si>
  <si>
    <r>
      <t>o</t>
    </r>
    <r>
      <rPr>
        <sz val="7"/>
        <color rgb="FF444444"/>
        <rFont val="Times New Roman"/>
        <family val="1"/>
        <charset val="204"/>
      </rPr>
      <t xml:space="preserve">    </t>
    </r>
    <r>
      <rPr>
        <sz val="8.5"/>
        <color rgb="FF444444"/>
        <rFont val="Verdana"/>
        <family val="2"/>
        <charset val="204"/>
      </rPr>
      <t>6V купол - A, B, С, D, E, F, G, H, I - 5-6º</t>
    </r>
  </si>
  <si>
    <t>Калькуляторы on-line:</t>
  </si>
  <si>
    <t>Acidome calculator - толковый российский on-line калькулятор</t>
  </si>
  <si>
    <t>Desert Domes</t>
  </si>
  <si>
    <t>Geo-Dome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</si>
  <si>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</si>
  <si>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</si>
  <si>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</si>
  <si>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</si>
  <si>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</si>
  <si>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</si>
  <si>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</si>
  <si>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</si>
  <si>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</si>
  <si>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</si>
  <si>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</si>
  <si>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Расчет элементов купола 1/2 , 8V</t>
  </si>
  <si>
    <t>труба 57мм</t>
  </si>
  <si>
    <t>полоса сталь 25х2</t>
  </si>
  <si>
    <t xml:space="preserve">вес </t>
  </si>
  <si>
    <t>3V 5/8</t>
  </si>
  <si>
    <t>5V 5/8</t>
  </si>
  <si>
    <t>5V</t>
  </si>
  <si>
    <t>5Vменее 5/8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</si>
</sst>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5"/>
      <color rgb="FF3C738E"/>
      <name val="Georgia"/>
      <family val="1"/>
      <charset val="204"/>
    </font>
    <font>
      <b/>
      <sz val="8.5"/>
      <color rgb="FF444444"/>
      <name val="Verdana"/>
      <family val="2"/>
      <charset val="204"/>
    </font>
    <font>
      <sz val="8.5"/>
      <color rgb="FF444444"/>
      <name val="Verdana"/>
      <family val="2"/>
      <charset val="204"/>
    </font>
    <font>
      <sz val="10"/>
      <color rgb="FF444444"/>
      <name val="Courier New"/>
      <family val="3"/>
      <charset val="204"/>
    </font>
    <font>
      <sz val="7"/>
      <color rgb="FF44444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0" fillId="0" borderId="5" xfId="0" applyBorder="1"/>
    <xf numFmtId="165" fontId="0" fillId="0" borderId="5" xfId="0" applyNumberFormat="1" applyBorder="1"/>
    <xf numFmtId="1" fontId="0" fillId="0" borderId="5" xfId="0" applyNumberFormat="1" applyBorder="1"/>
    <xf numFmtId="165" fontId="0" fillId="0" borderId="5" xfId="0" applyNumberFormat="1" applyBorder="1" applyAlignment="1"/>
    <xf numFmtId="0" fontId="0" fillId="0" borderId="5" xfId="0" applyBorder="1" applyAlignment="1"/>
    <xf numFmtId="165" fontId="0" fillId="0" borderId="0" xfId="0" applyNumberFormat="1"/>
    <xf numFmtId="0" fontId="4" fillId="0" borderId="0" xfId="0" applyFont="1" applyAlignment="1"/>
    <xf numFmtId="0" fontId="5" fillId="0" borderId="0" xfId="0" applyFont="1"/>
    <xf numFmtId="0" fontId="9" fillId="0" borderId="0" xfId="1" applyAlignment="1" applyProtection="1"/>
    <xf numFmtId="0" fontId="0" fillId="0" borderId="0" xfId="0" applyBorder="1" applyAlignme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vertical="top" wrapText="1"/>
    </xf>
    <xf numFmtId="165" fontId="1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0" fillId="0" borderId="5" xfId="0" applyFont="1" applyBorder="1"/>
    <xf numFmtId="0" fontId="10" fillId="0" borderId="0" xfId="0" applyFont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wrapText="1"/>
    </xf>
    <xf numFmtId="0" fontId="7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3.gif"/><Relationship Id="rId7" Type="http://schemas.openxmlformats.org/officeDocument/2006/relationships/image" Target="../media/image6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gif"/><Relationship Id="rId5" Type="http://schemas.openxmlformats.org/officeDocument/2006/relationships/image" Target="../media/image4.gif"/><Relationship Id="rId10" Type="http://schemas.openxmlformats.org/officeDocument/2006/relationships/image" Target="../media/image9.gif"/><Relationship Id="rId4" Type="http://schemas.openxmlformats.org/officeDocument/2006/relationships/hyperlink" Target="http://geodesic.com.ua/images/stories/DomeHome/6vdiagram.gif" TargetMode="External"/><Relationship Id="rId9" Type="http://schemas.openxmlformats.org/officeDocument/2006/relationships/image" Target="../media/image8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19</xdr:col>
      <xdr:colOff>142875</xdr:colOff>
      <xdr:row>89</xdr:row>
      <xdr:rowOff>76200</xdr:rowOff>
    </xdr:to>
    <xdr:pic>
      <xdr:nvPicPr>
        <xdr:cNvPr id="5" name="Рисунок 4" descr="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9867900"/>
          <a:ext cx="3829050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17</xdr:col>
      <xdr:colOff>95250</xdr:colOff>
      <xdr:row>106</xdr:row>
      <xdr:rowOff>19050</xdr:rowOff>
    </xdr:to>
    <xdr:pic>
      <xdr:nvPicPr>
        <xdr:cNvPr id="6" name="Рисунок 5" descr="4vdiagra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24600" y="13420725"/>
          <a:ext cx="4410075" cy="350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304800</xdr:colOff>
      <xdr:row>43</xdr:row>
      <xdr:rowOff>0</xdr:rowOff>
    </xdr:from>
    <xdr:to>
      <xdr:col>22</xdr:col>
      <xdr:colOff>76200</xdr:colOff>
      <xdr:row>58</xdr:row>
      <xdr:rowOff>276225</xdr:rowOff>
    </xdr:to>
    <xdr:pic>
      <xdr:nvPicPr>
        <xdr:cNvPr id="7" name="Рисунок 6" descr="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25025" y="11953875"/>
          <a:ext cx="40386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31</xdr:col>
      <xdr:colOff>228600</xdr:colOff>
      <xdr:row>58</xdr:row>
      <xdr:rowOff>295275</xdr:rowOff>
    </xdr:to>
    <xdr:pic>
      <xdr:nvPicPr>
        <xdr:cNvPr id="9" name="Рисунок 8" descr="6vdiagram">
          <a:hlinkClick xmlns:r="http://schemas.openxmlformats.org/officeDocument/2006/relationships" r:id="rId4" tgtFrame="&quot;_blank&quot;" tooltip="&quot;6vdiagram&quot;"/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687425" y="11296650"/>
          <a:ext cx="5715000" cy="396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0</xdr:row>
      <xdr:rowOff>0</xdr:rowOff>
    </xdr:from>
    <xdr:to>
      <xdr:col>33</xdr:col>
      <xdr:colOff>152400</xdr:colOff>
      <xdr:row>28</xdr:row>
      <xdr:rowOff>66675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029700" y="0"/>
          <a:ext cx="11515725" cy="6667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110</xdr:row>
      <xdr:rowOff>0</xdr:rowOff>
    </xdr:from>
    <xdr:to>
      <xdr:col>14</xdr:col>
      <xdr:colOff>238125</xdr:colOff>
      <xdr:row>119</xdr:row>
      <xdr:rowOff>276225</xdr:rowOff>
    </xdr:to>
    <xdr:pic>
      <xdr:nvPicPr>
        <xdr:cNvPr id="8" name="Рисунок 7" descr="333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24600" y="30432375"/>
          <a:ext cx="27241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18</xdr:col>
      <xdr:colOff>76200</xdr:colOff>
      <xdr:row>117</xdr:row>
      <xdr:rowOff>0</xdr:rowOff>
    </xdr:to>
    <xdr:pic>
      <xdr:nvPicPr>
        <xdr:cNvPr id="10" name="Рисунок 9" descr="3vdome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420225" y="28613100"/>
          <a:ext cx="19050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17</xdr:col>
      <xdr:colOff>104775</xdr:colOff>
      <xdr:row>147</xdr:row>
      <xdr:rowOff>152400</xdr:rowOff>
    </xdr:to>
    <xdr:pic>
      <xdr:nvPicPr>
        <xdr:cNvPr id="11" name="Рисунок 10" descr="5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34200" y="33337500"/>
          <a:ext cx="3810000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14</xdr:col>
      <xdr:colOff>28575</xdr:colOff>
      <xdr:row>154</xdr:row>
      <xdr:rowOff>171450</xdr:rowOff>
    </xdr:to>
    <xdr:pic>
      <xdr:nvPicPr>
        <xdr:cNvPr id="12" name="Рисунок 11" descr="5vdome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34200" y="37099875"/>
          <a:ext cx="19050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23</xdr:col>
      <xdr:colOff>447675</xdr:colOff>
      <xdr:row>168</xdr:row>
      <xdr:rowOff>133350</xdr:rowOff>
    </xdr:to>
    <xdr:pic>
      <xdr:nvPicPr>
        <xdr:cNvPr id="13" name="Рисунок 12" descr="5vdiagram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420225" y="37099875"/>
          <a:ext cx="5324475" cy="410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9</xdr:col>
      <xdr:colOff>381000</xdr:colOff>
      <xdr:row>20</xdr:row>
      <xdr:rowOff>133350</xdr:rowOff>
    </xdr:to>
    <xdr:pic>
      <xdr:nvPicPr>
        <xdr:cNvPr id="2" name="Рисунок 1" descr="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438150"/>
          <a:ext cx="40386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-dome.co.uk/article.asp?uname=calculation" TargetMode="External"/><Relationship Id="rId2" Type="http://schemas.openxmlformats.org/officeDocument/2006/relationships/hyperlink" Target="http://www.desertdomes.com/domecalc.html" TargetMode="External"/><Relationship Id="rId1" Type="http://schemas.openxmlformats.org/officeDocument/2006/relationships/hyperlink" Target="http://acidome.ru/lab/calc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topLeftCell="A160" workbookViewId="0">
      <selection activeCell="D164" sqref="D164"/>
    </sheetView>
  </sheetViews>
  <sheetFormatPr defaultRowHeight="15"/>
  <cols>
    <col min="4" max="4" width="10" bestFit="1" customWidth="1"/>
    <col min="7" max="9" width="10" bestFit="1" customWidth="1"/>
    <col min="12" max="13" width="9.28515625" bestFit="1" customWidth="1"/>
    <col min="14" max="14" width="9.5703125" bestFit="1" customWidth="1"/>
  </cols>
  <sheetData>
    <row r="1" spans="1:15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</row>
    <row r="2" spans="1:15">
      <c r="A2" s="43" t="s">
        <v>0</v>
      </c>
      <c r="B2" s="43" t="s">
        <v>1</v>
      </c>
      <c r="C2" s="45" t="s">
        <v>17</v>
      </c>
      <c r="D2" s="45"/>
      <c r="E2" s="45"/>
      <c r="F2" s="43" t="s">
        <v>2</v>
      </c>
      <c r="G2" s="45" t="s">
        <v>3</v>
      </c>
      <c r="H2" s="45"/>
      <c r="I2" s="45"/>
      <c r="J2" s="41" t="s">
        <v>21</v>
      </c>
      <c r="K2" s="41"/>
      <c r="L2" s="4">
        <v>3.5</v>
      </c>
      <c r="M2" s="4">
        <f>D3</f>
        <v>2.5</v>
      </c>
      <c r="N2" s="4">
        <f>E3</f>
        <v>6</v>
      </c>
    </row>
    <row r="3" spans="1:15">
      <c r="A3" s="43"/>
      <c r="B3" s="43"/>
      <c r="C3" s="4">
        <v>2</v>
      </c>
      <c r="D3" s="4">
        <v>2.5</v>
      </c>
      <c r="E3" s="4">
        <v>6</v>
      </c>
      <c r="F3" s="43"/>
      <c r="G3" s="4">
        <f>C3</f>
        <v>2</v>
      </c>
      <c r="H3" s="4">
        <f t="shared" ref="H3:I3" si="0">D3</f>
        <v>2.5</v>
      </c>
      <c r="I3" s="4">
        <f t="shared" si="0"/>
        <v>6</v>
      </c>
      <c r="J3" s="41" t="s">
        <v>19</v>
      </c>
      <c r="K3" s="41"/>
      <c r="L3" s="5"/>
      <c r="M3" s="5"/>
      <c r="N3" s="5"/>
      <c r="O3">
        <f>(L5*5)+M5+(N5-L5)</f>
        <v>286.66187500000001</v>
      </c>
    </row>
    <row r="4" spans="1:15">
      <c r="A4" s="24" t="s">
        <v>4</v>
      </c>
      <c r="B4" s="24">
        <v>0.15296000000000001</v>
      </c>
      <c r="C4" s="25">
        <f>C3*B4</f>
        <v>0.30592000000000003</v>
      </c>
      <c r="D4" s="25">
        <f>D3*B4</f>
        <v>0.38240000000000002</v>
      </c>
      <c r="E4" s="25">
        <f>E3*B4</f>
        <v>0.91776000000000013</v>
      </c>
      <c r="F4" s="24">
        <v>70</v>
      </c>
      <c r="G4" s="30">
        <f>C4*F4</f>
        <v>21.414400000000001</v>
      </c>
      <c r="H4" s="30">
        <f>D4*F4</f>
        <v>26.768000000000001</v>
      </c>
      <c r="I4" s="30">
        <f>E4*F4</f>
        <v>64.243200000000016</v>
      </c>
      <c r="J4" s="41"/>
      <c r="K4" s="41"/>
      <c r="L4" s="6"/>
      <c r="M4" s="6"/>
      <c r="N4" s="5"/>
    </row>
    <row r="5" spans="1:15">
      <c r="A5" s="24" t="s">
        <v>5</v>
      </c>
      <c r="B5" s="24">
        <v>0.16088</v>
      </c>
      <c r="C5" s="25">
        <f>C3*B5</f>
        <v>0.32175999999999999</v>
      </c>
      <c r="D5" s="25">
        <f>D3*B5</f>
        <v>0.4022</v>
      </c>
      <c r="E5" s="25">
        <f>E3*B5</f>
        <v>0.96527999999999992</v>
      </c>
      <c r="F5" s="24">
        <v>70</v>
      </c>
      <c r="G5" s="30">
        <f t="shared" ref="G5:G23" si="1">C5*F5</f>
        <v>22.523199999999999</v>
      </c>
      <c r="H5" s="30">
        <f>D5*F5</f>
        <v>28.154</v>
      </c>
      <c r="I5" s="30">
        <f t="shared" ref="I5:I9" si="2">E5*F5</f>
        <v>67.569599999999994</v>
      </c>
      <c r="J5" s="41" t="s">
        <v>36</v>
      </c>
      <c r="K5" s="41"/>
      <c r="L5" s="6">
        <f>3.1415*(L2*L2)</f>
        <v>38.483375000000002</v>
      </c>
      <c r="M5" s="6">
        <f>3.1415*(M2*M2)</f>
        <v>19.634375000000002</v>
      </c>
      <c r="N5" s="6">
        <f>3.1415*(N2*N2)</f>
        <v>113.09400000000001</v>
      </c>
    </row>
    <row r="6" spans="1:15">
      <c r="A6" s="24" t="s">
        <v>6</v>
      </c>
      <c r="B6" s="24">
        <v>0.16300000000000001</v>
      </c>
      <c r="C6" s="25">
        <f>C3*B6</f>
        <v>0.32600000000000001</v>
      </c>
      <c r="D6" s="25">
        <f>D3*B6</f>
        <v>0.40750000000000003</v>
      </c>
      <c r="E6" s="25">
        <f>E3*B6</f>
        <v>0.97799999999999998</v>
      </c>
      <c r="F6" s="24">
        <v>60</v>
      </c>
      <c r="G6" s="30">
        <f t="shared" si="1"/>
        <v>19.560000000000002</v>
      </c>
      <c r="H6" s="30">
        <f t="shared" ref="H6:H9" si="3">D6*F6</f>
        <v>24.450000000000003</v>
      </c>
      <c r="I6" s="30">
        <f t="shared" si="2"/>
        <v>58.68</v>
      </c>
      <c r="J6" s="41"/>
      <c r="K6" s="41"/>
      <c r="L6" s="5"/>
      <c r="M6" s="5"/>
      <c r="N6" s="5"/>
    </row>
    <row r="7" spans="1:15">
      <c r="A7" s="24" t="s">
        <v>7</v>
      </c>
      <c r="B7" s="24">
        <v>0.16033</v>
      </c>
      <c r="C7" s="25">
        <f>C3*B7</f>
        <v>0.32066</v>
      </c>
      <c r="D7" s="25">
        <f>D3*B7</f>
        <v>0.40082499999999999</v>
      </c>
      <c r="E7" s="25">
        <f>E3*B7</f>
        <v>0.96198000000000006</v>
      </c>
      <c r="F7" s="24">
        <v>60</v>
      </c>
      <c r="G7" s="30">
        <f t="shared" si="1"/>
        <v>19.239599999999999</v>
      </c>
      <c r="H7" s="30">
        <f t="shared" si="3"/>
        <v>24.049499999999998</v>
      </c>
      <c r="I7" s="30">
        <f t="shared" si="2"/>
        <v>57.718800000000002</v>
      </c>
      <c r="J7" s="41" t="s">
        <v>50</v>
      </c>
      <c r="K7" s="41"/>
      <c r="L7" s="6">
        <f>(2*3.1415)*(L2*L2)</f>
        <v>76.966750000000005</v>
      </c>
      <c r="M7" s="6">
        <f t="shared" ref="M7:N7" si="4">(2*3.1415)*(M2*M2)</f>
        <v>39.268750000000004</v>
      </c>
      <c r="N7" s="6">
        <f t="shared" si="4"/>
        <v>226.18800000000002</v>
      </c>
    </row>
    <row r="8" spans="1:15">
      <c r="A8" s="24" t="s">
        <v>8</v>
      </c>
      <c r="B8" s="24">
        <v>0.14862</v>
      </c>
      <c r="C8" s="25">
        <f>C3*B8</f>
        <v>0.29724</v>
      </c>
      <c r="D8" s="25">
        <f>D3*B8</f>
        <v>0.37154999999999999</v>
      </c>
      <c r="E8" s="25">
        <f>E3*B8</f>
        <v>0.89172000000000007</v>
      </c>
      <c r="F8" s="24">
        <v>60</v>
      </c>
      <c r="G8" s="30">
        <f t="shared" si="1"/>
        <v>17.834399999999999</v>
      </c>
      <c r="H8" s="30">
        <f t="shared" si="3"/>
        <v>22.292999999999999</v>
      </c>
      <c r="I8" s="30">
        <f t="shared" si="2"/>
        <v>53.503200000000007</v>
      </c>
      <c r="J8" s="41" t="s">
        <v>20</v>
      </c>
      <c r="K8" s="41"/>
      <c r="L8" s="6">
        <f t="shared" ref="L8:M8" si="5">L5/2</f>
        <v>19.241687500000001</v>
      </c>
      <c r="M8" s="6">
        <f t="shared" si="5"/>
        <v>9.8171875000000011</v>
      </c>
      <c r="N8" s="6">
        <f>N5/2</f>
        <v>56.547000000000004</v>
      </c>
    </row>
    <row r="9" spans="1:15">
      <c r="A9" s="24" t="s">
        <v>9</v>
      </c>
      <c r="B9" s="24">
        <v>0.13033</v>
      </c>
      <c r="C9" s="25">
        <f>C3*B9</f>
        <v>0.26066</v>
      </c>
      <c r="D9" s="25">
        <f>D3*B9</f>
        <v>0.32582500000000003</v>
      </c>
      <c r="E9" s="25">
        <f>E3*B9</f>
        <v>0.78198000000000001</v>
      </c>
      <c r="F9" s="24">
        <v>60</v>
      </c>
      <c r="G9" s="30">
        <f t="shared" si="1"/>
        <v>15.6396</v>
      </c>
      <c r="H9" s="30">
        <f t="shared" si="3"/>
        <v>19.549500000000002</v>
      </c>
      <c r="I9" s="30">
        <f t="shared" si="2"/>
        <v>46.918799999999997</v>
      </c>
      <c r="J9" s="41" t="s">
        <v>30</v>
      </c>
      <c r="K9" s="41"/>
      <c r="L9" s="6">
        <f>3.1415*L2-0.7</f>
        <v>10.295250000000001</v>
      </c>
      <c r="M9" s="6">
        <f t="shared" ref="M9:N9" si="6">3.1415*M2-0.7</f>
        <v>7.1537500000000005</v>
      </c>
      <c r="N9" s="6">
        <f t="shared" si="6"/>
        <v>18.149000000000001</v>
      </c>
    </row>
    <row r="10" spans="1:15">
      <c r="A10" s="24" t="s">
        <v>10</v>
      </c>
      <c r="B10" s="24">
        <v>0.14055999999999999</v>
      </c>
      <c r="C10" s="25">
        <f>C3*B10</f>
        <v>0.28111999999999998</v>
      </c>
      <c r="D10" s="25">
        <f>D3*B10</f>
        <v>0.35139999999999999</v>
      </c>
      <c r="E10" s="25">
        <f>E3*B10</f>
        <v>0.84335999999999989</v>
      </c>
      <c r="F10" s="24">
        <v>60</v>
      </c>
      <c r="G10" s="30">
        <f t="shared" si="1"/>
        <v>16.8672</v>
      </c>
      <c r="H10" s="30">
        <f>D10*F10</f>
        <v>21.084</v>
      </c>
      <c r="I10" s="30">
        <f>E10*F10</f>
        <v>50.601599999999991</v>
      </c>
      <c r="J10" s="20"/>
      <c r="K10" s="20"/>
      <c r="L10" s="6"/>
      <c r="M10" s="6"/>
      <c r="N10" s="6"/>
    </row>
    <row r="11" spans="1:15">
      <c r="A11" s="24" t="s">
        <v>11</v>
      </c>
      <c r="B11" s="24">
        <v>0.14802999999999999</v>
      </c>
      <c r="C11" s="25">
        <f>C3*B11</f>
        <v>0.29605999999999999</v>
      </c>
      <c r="D11" s="25">
        <f>D3*B11</f>
        <v>0.37007499999999999</v>
      </c>
      <c r="E11" s="25">
        <f>E3*B11</f>
        <v>0.88817999999999997</v>
      </c>
      <c r="F11" s="24">
        <v>60</v>
      </c>
      <c r="G11" s="30">
        <f t="shared" si="1"/>
        <v>17.7636</v>
      </c>
      <c r="H11" s="30">
        <f>D11*F11</f>
        <v>22.204499999999999</v>
      </c>
      <c r="I11" s="30">
        <f>E11*F11</f>
        <v>53.290799999999997</v>
      </c>
      <c r="J11" s="20"/>
      <c r="K11" s="20"/>
      <c r="L11" s="6"/>
      <c r="M11" s="6"/>
      <c r="N11" s="6"/>
    </row>
    <row r="12" spans="1:15">
      <c r="A12" s="24" t="s">
        <v>12</v>
      </c>
      <c r="B12" s="24">
        <v>0.15267</v>
      </c>
      <c r="C12" s="25">
        <f>C3*B12</f>
        <v>0.30534</v>
      </c>
      <c r="D12" s="25">
        <f>D3*B12</f>
        <v>0.38167499999999999</v>
      </c>
      <c r="E12" s="25">
        <f>E3*B12</f>
        <v>0.91602000000000006</v>
      </c>
      <c r="F12" s="24">
        <v>60</v>
      </c>
      <c r="G12" s="30">
        <f t="shared" si="1"/>
        <v>18.320399999999999</v>
      </c>
      <c r="H12" s="30">
        <f>D12*F12</f>
        <v>22.900500000000001</v>
      </c>
      <c r="I12" s="30">
        <f>E12*F12</f>
        <v>54.961200000000005</v>
      </c>
      <c r="J12" s="20"/>
      <c r="K12" s="20"/>
      <c r="L12" s="6"/>
      <c r="M12" s="6"/>
      <c r="N12" s="6"/>
    </row>
    <row r="13" spans="1:15">
      <c r="A13" s="24" t="s">
        <v>64</v>
      </c>
      <c r="B13" s="24">
        <v>0.14548</v>
      </c>
      <c r="C13" s="25">
        <f>C3*B13</f>
        <v>0.29096</v>
      </c>
      <c r="D13" s="25">
        <f>D3*B13</f>
        <v>0.36370000000000002</v>
      </c>
      <c r="E13" s="25">
        <f>E3*B13</f>
        <v>0.87287999999999999</v>
      </c>
      <c r="F13" s="24">
        <v>60</v>
      </c>
      <c r="G13" s="30">
        <f t="shared" si="1"/>
        <v>17.457599999999999</v>
      </c>
      <c r="H13" s="30">
        <f t="shared" ref="H13:H23" si="7">D13*F13</f>
        <v>21.822000000000003</v>
      </c>
      <c r="I13" s="30">
        <f t="shared" ref="I13:I23" si="8">E13*F13</f>
        <v>52.372799999999998</v>
      </c>
      <c r="J13" s="20"/>
      <c r="K13" s="20"/>
      <c r="L13" s="6"/>
      <c r="M13" s="6"/>
      <c r="N13" s="6"/>
    </row>
    <row r="14" spans="1:15">
      <c r="A14" s="24" t="s">
        <v>65</v>
      </c>
      <c r="B14" s="24">
        <v>0.15476999999999999</v>
      </c>
      <c r="C14" s="25">
        <f>C3*B14</f>
        <v>0.30953999999999998</v>
      </c>
      <c r="D14" s="25">
        <f>D3*B14</f>
        <v>0.38692499999999996</v>
      </c>
      <c r="E14" s="25">
        <f>E3*B14</f>
        <v>0.92862</v>
      </c>
      <c r="F14" s="24">
        <v>60</v>
      </c>
      <c r="G14" s="30">
        <f t="shared" si="1"/>
        <v>18.572399999999998</v>
      </c>
      <c r="H14" s="30">
        <f t="shared" si="7"/>
        <v>23.215499999999999</v>
      </c>
      <c r="I14" s="30">
        <f t="shared" si="8"/>
        <v>55.717199999999998</v>
      </c>
      <c r="J14" s="20"/>
      <c r="K14" s="20"/>
      <c r="L14" s="6"/>
      <c r="M14" s="6"/>
      <c r="N14" s="6"/>
    </row>
    <row r="15" spans="1:15">
      <c r="A15" s="24" t="s">
        <v>66</v>
      </c>
      <c r="B15" s="24">
        <v>0.15636</v>
      </c>
      <c r="C15" s="25">
        <f>C3*B15</f>
        <v>0.31272</v>
      </c>
      <c r="D15" s="25">
        <f>D3*B15</f>
        <v>0.39090000000000003</v>
      </c>
      <c r="E15" s="25">
        <f>E3*B15</f>
        <v>0.93815999999999999</v>
      </c>
      <c r="F15" s="24">
        <v>60</v>
      </c>
      <c r="G15" s="30">
        <f t="shared" si="1"/>
        <v>18.763200000000001</v>
      </c>
      <c r="H15" s="30">
        <f t="shared" si="7"/>
        <v>23.454000000000001</v>
      </c>
      <c r="I15" s="30">
        <f t="shared" si="8"/>
        <v>56.2896</v>
      </c>
      <c r="J15" s="20"/>
      <c r="K15" s="20"/>
      <c r="L15" s="6"/>
      <c r="M15" s="6"/>
      <c r="N15" s="6"/>
    </row>
    <row r="16" spans="1:15">
      <c r="A16" s="24" t="s">
        <v>67</v>
      </c>
      <c r="B16" s="24">
        <v>0.16036</v>
      </c>
      <c r="C16" s="25">
        <f>C3*B16</f>
        <v>0.32072000000000001</v>
      </c>
      <c r="D16" s="25">
        <f>D3*B16</f>
        <v>0.40090000000000003</v>
      </c>
      <c r="E16" s="25">
        <f>E3*B16</f>
        <v>0.96216000000000002</v>
      </c>
      <c r="F16" s="24">
        <v>30</v>
      </c>
      <c r="G16" s="30">
        <f t="shared" si="1"/>
        <v>9.6216000000000008</v>
      </c>
      <c r="H16" s="30">
        <f t="shared" si="7"/>
        <v>12.027000000000001</v>
      </c>
      <c r="I16" s="30">
        <f t="shared" si="8"/>
        <v>28.864799999999999</v>
      </c>
      <c r="J16" s="20"/>
      <c r="K16" s="20"/>
      <c r="L16" s="6"/>
      <c r="M16" s="6"/>
      <c r="N16" s="6"/>
    </row>
    <row r="17" spans="1:16">
      <c r="A17" s="24" t="s">
        <v>68</v>
      </c>
      <c r="B17" s="24">
        <v>0.16464999999999999</v>
      </c>
      <c r="C17" s="25">
        <f>C3*B17</f>
        <v>0.32929999999999998</v>
      </c>
      <c r="D17" s="25">
        <f>D3*B17</f>
        <v>0.41162499999999996</v>
      </c>
      <c r="E17" s="25">
        <f>E3*B17</f>
        <v>0.9879</v>
      </c>
      <c r="F17" s="24">
        <v>30</v>
      </c>
      <c r="G17" s="30">
        <f t="shared" si="1"/>
        <v>9.8789999999999996</v>
      </c>
      <c r="H17" s="30">
        <f t="shared" si="7"/>
        <v>12.348749999999999</v>
      </c>
      <c r="I17" s="30">
        <f t="shared" si="8"/>
        <v>29.637</v>
      </c>
      <c r="J17" s="20"/>
      <c r="K17" s="20"/>
      <c r="L17" s="6"/>
      <c r="M17" s="6"/>
      <c r="N17" s="6"/>
    </row>
    <row r="18" spans="1:16">
      <c r="A18" s="24" t="s">
        <v>69</v>
      </c>
      <c r="B18" s="24">
        <v>0.15315000000000001</v>
      </c>
      <c r="C18" s="25">
        <f>C3*B18</f>
        <v>0.30630000000000002</v>
      </c>
      <c r="D18" s="25">
        <f>D3*B18</f>
        <v>0.38287500000000002</v>
      </c>
      <c r="E18" s="25">
        <f>E3*B18</f>
        <v>0.91890000000000005</v>
      </c>
      <c r="F18" s="24">
        <v>30</v>
      </c>
      <c r="G18" s="30">
        <f t="shared" si="1"/>
        <v>9.1890000000000001</v>
      </c>
      <c r="H18" s="30">
        <f t="shared" si="7"/>
        <v>11.48625</v>
      </c>
      <c r="I18" s="30">
        <f t="shared" si="8"/>
        <v>27.567</v>
      </c>
      <c r="J18" s="20"/>
      <c r="K18" s="20"/>
      <c r="L18" s="6"/>
      <c r="M18" s="6"/>
      <c r="N18" s="6"/>
    </row>
    <row r="19" spans="1:16">
      <c r="A19" s="24" t="s">
        <v>70</v>
      </c>
      <c r="B19" s="24">
        <v>0.14018</v>
      </c>
      <c r="C19" s="25">
        <f>C3*B19</f>
        <v>0.28036</v>
      </c>
      <c r="D19" s="25">
        <f>D3*B19</f>
        <v>0.35044999999999998</v>
      </c>
      <c r="E19" s="25">
        <f>E3*B19</f>
        <v>0.84108000000000005</v>
      </c>
      <c r="F19" s="24">
        <v>30</v>
      </c>
      <c r="G19" s="30">
        <f t="shared" si="1"/>
        <v>8.4108000000000001</v>
      </c>
      <c r="H19" s="30">
        <f t="shared" si="7"/>
        <v>10.513499999999999</v>
      </c>
      <c r="I19" s="30">
        <f t="shared" si="8"/>
        <v>25.232400000000002</v>
      </c>
      <c r="J19" s="20"/>
      <c r="K19" s="20"/>
      <c r="L19" s="6"/>
      <c r="M19" s="6"/>
      <c r="N19" s="6"/>
    </row>
    <row r="20" spans="1:16">
      <c r="A20" s="24" t="s">
        <v>71</v>
      </c>
      <c r="B20" s="24">
        <v>0.13424</v>
      </c>
      <c r="C20" s="25">
        <f>C3*B20</f>
        <v>0.26848</v>
      </c>
      <c r="D20" s="25">
        <f>D3*B20</f>
        <v>0.33560000000000001</v>
      </c>
      <c r="E20" s="25">
        <f>E3*B20</f>
        <v>0.80543999999999993</v>
      </c>
      <c r="F20" s="24">
        <v>30</v>
      </c>
      <c r="G20" s="30">
        <f t="shared" si="1"/>
        <v>8.0543999999999993</v>
      </c>
      <c r="H20" s="30">
        <f t="shared" si="7"/>
        <v>10.068</v>
      </c>
      <c r="I20" s="30">
        <f t="shared" si="8"/>
        <v>24.163199999999996</v>
      </c>
      <c r="J20" s="20"/>
      <c r="K20" s="20"/>
      <c r="L20" s="6"/>
      <c r="M20" s="6"/>
      <c r="N20" s="6"/>
    </row>
    <row r="21" spans="1:16" ht="15.75" customHeight="1">
      <c r="A21" s="31" t="s">
        <v>72</v>
      </c>
      <c r="B21" s="31">
        <v>0.14627999999999999</v>
      </c>
      <c r="C21" s="25">
        <f>C3*B21</f>
        <v>0.29255999999999999</v>
      </c>
      <c r="D21" s="25">
        <f>D3*B21</f>
        <v>0.36569999999999997</v>
      </c>
      <c r="E21" s="25">
        <f>E3*B21</f>
        <v>0.87768000000000002</v>
      </c>
      <c r="F21" s="24">
        <v>30</v>
      </c>
      <c r="G21" s="30">
        <f t="shared" si="1"/>
        <v>8.7767999999999997</v>
      </c>
      <c r="H21" s="30">
        <f t="shared" si="7"/>
        <v>10.970999999999998</v>
      </c>
      <c r="I21" s="30">
        <f t="shared" si="8"/>
        <v>26.330400000000001</v>
      </c>
      <c r="J21" s="41" t="s">
        <v>31</v>
      </c>
      <c r="K21" s="41"/>
      <c r="L21" s="7">
        <f>L5-(3.1415*((L2/3)*(L2/3)))</f>
        <v>34.207444444444448</v>
      </c>
      <c r="M21" s="7">
        <f t="shared" ref="M21" si="9">M5-(3.1415*((M2/3)*(M2/3)))</f>
        <v>17.452777777777779</v>
      </c>
      <c r="N21" s="7">
        <f>N5-(3.1415*((N2/3)*(N2/3)))</f>
        <v>100.52800000000001</v>
      </c>
    </row>
    <row r="22" spans="1:16">
      <c r="A22" s="31" t="s">
        <v>73</v>
      </c>
      <c r="B22" s="31">
        <v>0.15639</v>
      </c>
      <c r="C22" s="25">
        <f>C3*B22</f>
        <v>0.31278</v>
      </c>
      <c r="D22" s="25">
        <f>D3*B22</f>
        <v>0.39097500000000002</v>
      </c>
      <c r="E22" s="25">
        <f>E3*B22</f>
        <v>0.93833999999999995</v>
      </c>
      <c r="F22" s="24">
        <v>30</v>
      </c>
      <c r="G22" s="30">
        <f t="shared" si="1"/>
        <v>9.3834</v>
      </c>
      <c r="H22" s="30">
        <f t="shared" si="7"/>
        <v>11.72925</v>
      </c>
      <c r="I22" s="30">
        <f t="shared" si="8"/>
        <v>28.150199999999998</v>
      </c>
      <c r="J22" s="44" t="s">
        <v>32</v>
      </c>
      <c r="K22" s="44"/>
      <c r="L22" s="48">
        <f>L2/3</f>
        <v>1.1666666666666667</v>
      </c>
      <c r="M22" s="48">
        <f t="shared" ref="M22:N22" si="10">M2/3</f>
        <v>0.83333333333333337</v>
      </c>
      <c r="N22" s="48">
        <f t="shared" si="10"/>
        <v>2</v>
      </c>
    </row>
    <row r="23" spans="1:16">
      <c r="A23" s="31" t="s">
        <v>74</v>
      </c>
      <c r="B23" s="31">
        <v>0.11946</v>
      </c>
      <c r="C23" s="25">
        <f>C3*B23</f>
        <v>0.23891999999999999</v>
      </c>
      <c r="D23" s="25">
        <f>D3*B23</f>
        <v>0.29864999999999997</v>
      </c>
      <c r="E23" s="25">
        <f>E3*B23</f>
        <v>0.71675999999999995</v>
      </c>
      <c r="F23" s="24">
        <v>30</v>
      </c>
      <c r="G23" s="30">
        <f t="shared" si="1"/>
        <v>7.1676000000000002</v>
      </c>
      <c r="H23" s="30">
        <f t="shared" si="7"/>
        <v>8.9594999999999985</v>
      </c>
      <c r="I23" s="30">
        <f t="shared" si="8"/>
        <v>21.502799999999997</v>
      </c>
      <c r="J23" s="44"/>
      <c r="K23" s="44"/>
      <c r="L23" s="48"/>
      <c r="M23" s="48"/>
      <c r="N23" s="48"/>
    </row>
    <row r="24" spans="1:16" ht="31.5" customHeight="1">
      <c r="A24" s="32" t="s">
        <v>13</v>
      </c>
      <c r="B24" s="24"/>
      <c r="C24" s="25">
        <f>SUM(C3:C23)</f>
        <v>7.9774000000000003</v>
      </c>
      <c r="D24" s="25">
        <f>SUM(D3:D23)</f>
        <v>9.9717499999999983</v>
      </c>
      <c r="E24" s="25">
        <f>SUM(E3:E23)</f>
        <v>23.932200000000009</v>
      </c>
      <c r="F24" s="30">
        <f>SUM(F4:F23)</f>
        <v>980</v>
      </c>
      <c r="G24" s="30">
        <f>SUM(G3:G23)</f>
        <v>296.43819999999994</v>
      </c>
      <c r="H24" s="30">
        <f t="shared" ref="H24:I24" si="11">SUM(H3:H23)</f>
        <v>370.54774999999995</v>
      </c>
      <c r="I24" s="30">
        <f t="shared" si="11"/>
        <v>889.31459999999981</v>
      </c>
      <c r="J24" s="44" t="s">
        <v>33</v>
      </c>
      <c r="K24" s="46"/>
      <c r="L24" s="8">
        <f>L5-L21</f>
        <v>4.2759305555555542</v>
      </c>
      <c r="M24" s="8">
        <f>M5-M21</f>
        <v>2.1815972222222229</v>
      </c>
      <c r="N24" s="8">
        <f>N5-N21</f>
        <v>12.566000000000003</v>
      </c>
    </row>
    <row r="25" spans="1:16" ht="48" customHeight="1">
      <c r="A25" s="44" t="s">
        <v>18</v>
      </c>
      <c r="B25" s="46"/>
      <c r="C25" s="26">
        <f>3.1415*(C3*C3)</f>
        <v>12.566000000000001</v>
      </c>
      <c r="D25" s="26">
        <f>3.1415*(D3*D3)</f>
        <v>19.634375000000002</v>
      </c>
      <c r="E25" s="26">
        <f>3.1415*(E3*E3)</f>
        <v>113.09400000000001</v>
      </c>
      <c r="F25" s="27" t="s">
        <v>40</v>
      </c>
      <c r="G25" s="25">
        <f>G3/100</f>
        <v>0.02</v>
      </c>
      <c r="H25" s="25">
        <f>H3/100</f>
        <v>2.5000000000000001E-2</v>
      </c>
      <c r="I25" s="4">
        <f>I3/100</f>
        <v>0.06</v>
      </c>
      <c r="J25" s="41" t="s">
        <v>37</v>
      </c>
      <c r="K25" s="41"/>
      <c r="L25" s="5">
        <f>(3.1415*((L2-G26)*(L2-G26)*(L2-G26)))/2</f>
        <v>65.063191822000007</v>
      </c>
      <c r="M25" s="5">
        <f t="shared" ref="M25:N25" si="12">(3.1415*((M2-H26)*(M2-H26)*(M2-H26)))/2</f>
        <v>23.099645843750007</v>
      </c>
      <c r="N25" s="5">
        <f t="shared" si="12"/>
        <v>319.329504144</v>
      </c>
    </row>
    <row r="26" spans="1:16" ht="31.5" customHeight="1">
      <c r="A26" s="21"/>
      <c r="B26" s="22"/>
      <c r="C26" s="4"/>
      <c r="D26" s="4"/>
      <c r="E26" s="4"/>
      <c r="F26" s="27" t="s">
        <v>41</v>
      </c>
      <c r="G26" s="25">
        <f>G3/50</f>
        <v>0.04</v>
      </c>
      <c r="H26" s="25">
        <f t="shared" ref="H26:I26" si="13">H3/50</f>
        <v>0.05</v>
      </c>
      <c r="I26" s="25">
        <f t="shared" si="13"/>
        <v>0.12</v>
      </c>
      <c r="J26" s="41" t="s">
        <v>39</v>
      </c>
      <c r="K26" s="41"/>
      <c r="L26" s="9">
        <f>(3.1415*(L2*L2*L2))/2</f>
        <v>67.345906249999999</v>
      </c>
      <c r="M26" s="9">
        <f>(3.1415*(M2*M2*M2))/2</f>
        <v>24.54296875</v>
      </c>
      <c r="N26" s="9">
        <f>(3.1415*(N2*N2*N2))/2</f>
        <v>339.28200000000004</v>
      </c>
    </row>
    <row r="27" spans="1:16" ht="31.5" customHeight="1">
      <c r="A27" s="44"/>
      <c r="B27" s="46"/>
      <c r="C27" s="4"/>
      <c r="D27" s="4"/>
      <c r="E27" s="4"/>
      <c r="F27" s="27" t="s">
        <v>42</v>
      </c>
      <c r="G27" s="28">
        <f>G26*G25*G24</f>
        <v>0.23715055999999995</v>
      </c>
      <c r="H27" s="28">
        <f t="shared" ref="H27:I27" si="14">H26*H25*H24</f>
        <v>0.46318468750000003</v>
      </c>
      <c r="I27" s="28">
        <f t="shared" si="14"/>
        <v>6.4030651199999982</v>
      </c>
      <c r="J27" s="41" t="s">
        <v>38</v>
      </c>
      <c r="K27" s="41"/>
      <c r="L27" s="5">
        <f>L26-L25</f>
        <v>2.2827144279999914</v>
      </c>
      <c r="M27" s="5">
        <f t="shared" ref="M27:N27" si="15">M26-M25</f>
        <v>1.4433229062499926</v>
      </c>
      <c r="N27" s="5">
        <f t="shared" si="15"/>
        <v>19.952495856000041</v>
      </c>
    </row>
    <row r="28" spans="1:16" ht="31.5" customHeight="1">
      <c r="A28" s="21"/>
      <c r="B28" s="22"/>
      <c r="C28" s="4"/>
      <c r="D28" s="4"/>
      <c r="E28" s="4"/>
      <c r="F28" s="24" t="s">
        <v>43</v>
      </c>
      <c r="G28" s="30">
        <f>G27*7000</f>
        <v>1660.0539199999996</v>
      </c>
      <c r="H28" s="30">
        <f t="shared" ref="H28:I28" si="16">H27*7000</f>
        <v>3242.2928125000003</v>
      </c>
      <c r="I28" s="30">
        <f t="shared" si="16"/>
        <v>44821.455839999988</v>
      </c>
      <c r="J28" s="9">
        <v>7.4999999999999997E-2</v>
      </c>
      <c r="K28" s="9">
        <v>2.5000000000000001E-2</v>
      </c>
      <c r="L28" s="5">
        <f>J28*K28*G24</f>
        <v>0.55582162499999987</v>
      </c>
      <c r="M28" s="5">
        <f>J28*K28*H24</f>
        <v>0.6947770312499999</v>
      </c>
      <c r="N28" s="5">
        <f>J28*K28*I24</f>
        <v>1.6674648749999996</v>
      </c>
    </row>
    <row r="29" spans="1:16" ht="31.5" customHeight="1">
      <c r="A29" s="21"/>
      <c r="B29" s="22"/>
      <c r="C29" s="4"/>
      <c r="D29" s="4"/>
      <c r="E29" s="4"/>
      <c r="F29" s="24" t="s">
        <v>44</v>
      </c>
      <c r="G29" s="4">
        <f>(G41*20)+(F41*10)</f>
        <v>43260</v>
      </c>
      <c r="H29" s="4">
        <f>(H41*20)+(F41*10)</f>
        <v>43260</v>
      </c>
      <c r="I29" s="4">
        <f>(I41*20)+(F41*10)</f>
        <v>43260</v>
      </c>
      <c r="J29" s="5">
        <v>0.1</v>
      </c>
      <c r="K29" s="5">
        <v>0.03</v>
      </c>
      <c r="L29" s="5">
        <f>J29*K29*G24</f>
        <v>0.88931459999999984</v>
      </c>
      <c r="M29" s="5">
        <f>J29*K29*H24</f>
        <v>1.11164325</v>
      </c>
      <c r="N29" s="5">
        <f>J29*K29*I24</f>
        <v>2.6679437999999993</v>
      </c>
    </row>
    <row r="30" spans="1:16" ht="31.5" customHeight="1">
      <c r="A30" s="21"/>
      <c r="B30" s="22"/>
      <c r="C30" s="4"/>
      <c r="D30" s="4"/>
      <c r="E30" s="4"/>
      <c r="F30" s="24" t="s">
        <v>45</v>
      </c>
      <c r="G30" s="26">
        <f>L7*1.1</f>
        <v>84.663425000000018</v>
      </c>
      <c r="H30" s="26">
        <f t="shared" ref="H30:I30" si="17">M7*1.1</f>
        <v>43.195625000000007</v>
      </c>
      <c r="I30" s="26">
        <f t="shared" si="17"/>
        <v>248.80680000000004</v>
      </c>
      <c r="J30" s="5"/>
      <c r="K30" s="5"/>
      <c r="L30" s="5"/>
      <c r="M30" s="5"/>
      <c r="N30" s="5"/>
    </row>
    <row r="31" spans="1:16" ht="31.5" customHeight="1">
      <c r="A31" s="21"/>
      <c r="B31" s="22"/>
      <c r="C31" s="4"/>
      <c r="D31" s="4"/>
      <c r="E31" s="4"/>
      <c r="F31" s="24" t="s">
        <v>46</v>
      </c>
      <c r="G31" s="26">
        <f>(G30*100)*2</f>
        <v>16932.685000000005</v>
      </c>
      <c r="H31" s="26">
        <f t="shared" ref="H31:I31" si="18">(H30*100)*2</f>
        <v>8639.1250000000018</v>
      </c>
      <c r="I31" s="26">
        <f t="shared" si="18"/>
        <v>49761.360000000008</v>
      </c>
      <c r="J31" s="5"/>
      <c r="K31" s="5"/>
      <c r="L31" s="5"/>
      <c r="M31" s="5"/>
      <c r="N31" s="5"/>
    </row>
    <row r="32" spans="1:16" ht="31.5" customHeight="1">
      <c r="A32" s="21"/>
      <c r="B32" s="22"/>
      <c r="C32" s="4"/>
      <c r="D32" s="4"/>
      <c r="E32" s="4"/>
      <c r="F32" s="24" t="s">
        <v>47</v>
      </c>
      <c r="G32" s="26">
        <f>G31+G29+G28</f>
        <v>61852.738920000003</v>
      </c>
      <c r="H32" s="26">
        <f t="shared" ref="H32:I32" si="19">H31+H29+H28</f>
        <v>55141.417812500003</v>
      </c>
      <c r="I32" s="26">
        <f t="shared" si="19"/>
        <v>137842.81584</v>
      </c>
      <c r="J32" s="5"/>
      <c r="K32" s="5"/>
      <c r="L32" s="5"/>
      <c r="M32" s="5"/>
      <c r="N32" s="5"/>
      <c r="P32" s="10">
        <f>SUM(G32:O32)</f>
        <v>254836.9725725</v>
      </c>
    </row>
    <row r="33" spans="1:19" ht="31.5" customHeight="1">
      <c r="A33" s="21"/>
      <c r="B33" s="22"/>
      <c r="C33" s="4"/>
      <c r="D33" s="4"/>
      <c r="E33" s="4"/>
      <c r="F33" s="24" t="s">
        <v>48</v>
      </c>
      <c r="G33" s="26">
        <v>10</v>
      </c>
      <c r="H33" s="26"/>
      <c r="I33" s="26"/>
      <c r="J33" s="5"/>
      <c r="K33" s="5"/>
      <c r="L33" s="5"/>
      <c r="M33" s="5"/>
      <c r="N33" s="5"/>
      <c r="P33" s="10"/>
    </row>
    <row r="34" spans="1:19" ht="31.5" customHeight="1">
      <c r="A34" s="21"/>
      <c r="B34" s="22"/>
      <c r="C34" s="4"/>
      <c r="D34" s="4"/>
      <c r="E34" s="4"/>
      <c r="F34" s="24" t="s">
        <v>49</v>
      </c>
      <c r="G34" s="26">
        <f>G33*2000</f>
        <v>20000</v>
      </c>
      <c r="H34" s="26"/>
      <c r="I34" s="26"/>
      <c r="J34" s="5"/>
      <c r="K34" s="5"/>
      <c r="L34" s="5"/>
      <c r="M34" s="5"/>
      <c r="N34" s="5"/>
      <c r="P34" s="10">
        <f>(G34*5)+H32+I32</f>
        <v>292984.23365249997</v>
      </c>
    </row>
    <row r="35" spans="1:19" ht="31.5" customHeight="1">
      <c r="A35" s="21"/>
      <c r="B35" s="22"/>
      <c r="C35" s="4"/>
      <c r="D35" s="4"/>
      <c r="E35" s="4"/>
      <c r="F35" s="24"/>
      <c r="G35" s="26"/>
      <c r="H35" s="26"/>
      <c r="I35" s="26"/>
      <c r="J35" s="5"/>
      <c r="K35" s="5"/>
      <c r="L35" s="5"/>
      <c r="M35" s="5"/>
      <c r="N35" s="5"/>
      <c r="P35" s="10"/>
    </row>
    <row r="36" spans="1:19" ht="31.5" customHeight="1">
      <c r="A36" s="21"/>
      <c r="B36" s="22"/>
      <c r="C36" s="4"/>
      <c r="D36" s="4"/>
      <c r="E36" s="4"/>
      <c r="F36" s="24"/>
      <c r="G36" s="4"/>
      <c r="H36" s="4"/>
      <c r="I36" s="4"/>
      <c r="J36" s="4"/>
      <c r="K36" s="4"/>
      <c r="L36" s="4"/>
      <c r="M36" s="4"/>
      <c r="N36" s="4"/>
      <c r="O36" s="3">
        <v>0.1</v>
      </c>
      <c r="P36" s="2">
        <v>0.04</v>
      </c>
      <c r="Q36">
        <f>O36*P36*G24</f>
        <v>1.1857527999999997</v>
      </c>
      <c r="R36">
        <f>O36*P36*H24</f>
        <v>1.4821909999999998</v>
      </c>
      <c r="S36">
        <f>O36*P36*I24</f>
        <v>3.5572583999999994</v>
      </c>
    </row>
    <row r="37" spans="1:19" ht="37.5" customHeight="1">
      <c r="A37" s="21"/>
      <c r="B37" s="22"/>
      <c r="C37" s="33" t="s">
        <v>76</v>
      </c>
      <c r="D37" s="33" t="s">
        <v>77</v>
      </c>
      <c r="E37" s="4" t="s">
        <v>78</v>
      </c>
      <c r="F37" s="24"/>
      <c r="G37" s="42" t="s">
        <v>26</v>
      </c>
      <c r="H37" s="42"/>
      <c r="I37" s="42"/>
      <c r="J37" s="29"/>
      <c r="K37" s="29"/>
      <c r="L37" s="29"/>
      <c r="M37" s="29"/>
      <c r="N37" s="29"/>
      <c r="O37" s="3">
        <v>0.1</v>
      </c>
      <c r="P37" s="2">
        <v>0.05</v>
      </c>
      <c r="Q37">
        <f>O37*P37*G24</f>
        <v>1.482191</v>
      </c>
      <c r="R37">
        <f>O37*P37*H24</f>
        <v>1.8527387500000001</v>
      </c>
      <c r="S37">
        <f>O37*P37*I24</f>
        <v>4.4465729999999999</v>
      </c>
    </row>
    <row r="38" spans="1:19" ht="22.5" customHeight="1">
      <c r="A38" s="49" t="s">
        <v>14</v>
      </c>
      <c r="B38" s="49"/>
      <c r="C38" s="4">
        <v>0.1</v>
      </c>
      <c r="D38" s="4">
        <v>0.4</v>
      </c>
      <c r="E38" s="4">
        <f>('сведения о материалах'!B2*Лист1!C38)+(('сведения о материалах'!B1*Лист1!D38)*4)</f>
        <v>1.1200000000000001</v>
      </c>
      <c r="F38" s="24">
        <v>40</v>
      </c>
      <c r="G38" s="4">
        <f>F38*4</f>
        <v>160</v>
      </c>
      <c r="H38" s="4">
        <f>G38</f>
        <v>160</v>
      </c>
      <c r="I38" s="4">
        <f>G38</f>
        <v>160</v>
      </c>
      <c r="J38" s="4"/>
      <c r="K38" s="4"/>
      <c r="L38" s="4"/>
      <c r="M38" s="4"/>
      <c r="N38" s="4"/>
      <c r="O38">
        <v>0.15</v>
      </c>
      <c r="P38">
        <v>0.05</v>
      </c>
      <c r="Q38">
        <f>O38*P38*G24</f>
        <v>2.2232864999999995</v>
      </c>
      <c r="R38">
        <f>O38*P38*H24</f>
        <v>2.7791081249999996</v>
      </c>
      <c r="S38">
        <f>O38*P38*I24</f>
        <v>6.6698594999999985</v>
      </c>
    </row>
    <row r="39" spans="1:19" ht="22.5" customHeight="1">
      <c r="A39" s="49" t="s">
        <v>15</v>
      </c>
      <c r="B39" s="49"/>
      <c r="C39" s="4">
        <v>0.1</v>
      </c>
      <c r="D39" s="4">
        <v>0.4</v>
      </c>
      <c r="E39" s="4">
        <f>('сведения о материалах'!B2*Лист1!C39)+(('сведения о материалах'!B1*Лист1!D39)*5)</f>
        <v>1.278</v>
      </c>
      <c r="F39" s="24">
        <v>6</v>
      </c>
      <c r="G39" s="4">
        <f>F39*5</f>
        <v>30</v>
      </c>
      <c r="H39" s="4">
        <f>G39</f>
        <v>30</v>
      </c>
      <c r="I39" s="4">
        <f>G39</f>
        <v>30</v>
      </c>
      <c r="J39" s="4"/>
      <c r="K39" s="4"/>
      <c r="L39" s="4"/>
      <c r="M39" s="4"/>
      <c r="N39" s="4"/>
      <c r="Q39">
        <f>O39*P39*G29</f>
        <v>0</v>
      </c>
      <c r="R39">
        <f>O39*P39*H29</f>
        <v>0</v>
      </c>
      <c r="S39">
        <f>O39*P39*I29</f>
        <v>0</v>
      </c>
    </row>
    <row r="40" spans="1:19" ht="26.25" customHeight="1">
      <c r="A40" s="49" t="s">
        <v>16</v>
      </c>
      <c r="B40" s="49"/>
      <c r="C40" s="4">
        <v>0.1</v>
      </c>
      <c r="D40" s="4">
        <v>0.4</v>
      </c>
      <c r="E40" s="4">
        <f>('сведения о материалах'!B2*Лист1!C40)+(('сведения о материалах'!B1*Лист1!D40)*6)</f>
        <v>1.4360000000000002</v>
      </c>
      <c r="F40" s="24">
        <v>300</v>
      </c>
      <c r="G40" s="4">
        <f>F40*6</f>
        <v>1800</v>
      </c>
      <c r="H40" s="4">
        <f>G40</f>
        <v>1800</v>
      </c>
      <c r="I40" s="4">
        <f>G40</f>
        <v>1800</v>
      </c>
      <c r="J40" s="5"/>
      <c r="K40" s="5"/>
      <c r="L40" s="5"/>
      <c r="M40" s="5"/>
      <c r="N40" s="5"/>
    </row>
    <row r="41" spans="1:19">
      <c r="A41" s="5" t="s">
        <v>27</v>
      </c>
      <c r="B41" s="5"/>
      <c r="C41" s="4">
        <f>F41*C40*'сведения о материалах'!B2</f>
        <v>168.84800000000001</v>
      </c>
      <c r="D41" s="4">
        <f>E41-C41</f>
        <v>314.42000000000007</v>
      </c>
      <c r="E41" s="5">
        <f>(E38*F38)+(E39*F39)+(E40*F40)</f>
        <v>483.26800000000009</v>
      </c>
      <c r="F41" s="5">
        <f>SUM(F38:F40)</f>
        <v>346</v>
      </c>
      <c r="G41" s="9">
        <f>SUM(G38:G40)</f>
        <v>1990</v>
      </c>
      <c r="H41" s="9">
        <f>SUM(H38:H40)</f>
        <v>1990</v>
      </c>
      <c r="I41" s="9">
        <f>SUM(I38:I40)</f>
        <v>1990</v>
      </c>
      <c r="J41" s="5"/>
      <c r="K41" s="5"/>
      <c r="L41" s="5"/>
      <c r="M41" s="5"/>
      <c r="N41" s="5"/>
    </row>
    <row r="42" spans="1:19">
      <c r="A42" s="5"/>
      <c r="B42" s="5"/>
      <c r="C42" s="5"/>
      <c r="D42" s="5"/>
      <c r="E42" s="5"/>
      <c r="F42" s="5"/>
      <c r="G42" s="9"/>
      <c r="H42" s="9"/>
      <c r="I42" s="9"/>
      <c r="J42" s="5"/>
      <c r="K42" s="5"/>
      <c r="L42" s="5"/>
      <c r="M42" s="5"/>
      <c r="N42" s="5"/>
    </row>
    <row r="43" spans="1:19" s="40" customFormat="1">
      <c r="A43" s="51" t="s">
        <v>29</v>
      </c>
      <c r="B43" s="51"/>
      <c r="C43" s="51"/>
      <c r="D43" s="51"/>
      <c r="E43" s="51"/>
      <c r="F43" s="51"/>
      <c r="G43" s="51"/>
      <c r="H43" s="51"/>
      <c r="I43" s="51"/>
      <c r="J43" s="39"/>
      <c r="K43" s="39"/>
      <c r="L43" s="39"/>
      <c r="M43" s="39"/>
      <c r="N43" s="39"/>
    </row>
    <row r="44" spans="1:19">
      <c r="A44" s="43" t="s">
        <v>0</v>
      </c>
      <c r="B44" s="43" t="s">
        <v>1</v>
      </c>
      <c r="C44" s="45" t="s">
        <v>17</v>
      </c>
      <c r="D44" s="45"/>
      <c r="E44" s="45"/>
      <c r="F44" s="43" t="s">
        <v>2</v>
      </c>
      <c r="G44" s="45" t="s">
        <v>3</v>
      </c>
      <c r="H44" s="45"/>
      <c r="I44" s="45"/>
      <c r="J44" s="41" t="s">
        <v>21</v>
      </c>
      <c r="K44" s="41"/>
      <c r="L44" s="4">
        <f>C45</f>
        <v>2</v>
      </c>
      <c r="M44" s="4">
        <f>D45</f>
        <v>2.5</v>
      </c>
      <c r="N44" s="4">
        <f>E45</f>
        <v>5</v>
      </c>
    </row>
    <row r="45" spans="1:19">
      <c r="A45" s="43"/>
      <c r="B45" s="43"/>
      <c r="C45" s="4">
        <v>2</v>
      </c>
      <c r="D45" s="4">
        <v>2.5</v>
      </c>
      <c r="E45" s="4">
        <v>5</v>
      </c>
      <c r="F45" s="43"/>
      <c r="G45" s="4">
        <f>C45</f>
        <v>2</v>
      </c>
      <c r="H45" s="4">
        <f t="shared" ref="H45:I45" si="20">D45</f>
        <v>2.5</v>
      </c>
      <c r="I45" s="4">
        <f t="shared" si="20"/>
        <v>5</v>
      </c>
      <c r="J45" s="41" t="s">
        <v>19</v>
      </c>
      <c r="K45" s="41"/>
      <c r="L45" s="5"/>
      <c r="M45" s="5"/>
      <c r="N45" s="5"/>
    </row>
    <row r="46" spans="1:19">
      <c r="A46" s="24" t="s">
        <v>4</v>
      </c>
      <c r="B46" s="24">
        <v>0.1625672</v>
      </c>
      <c r="C46" s="25">
        <f>C45*B46</f>
        <v>0.32513439999999999</v>
      </c>
      <c r="D46" s="25">
        <f>D45*B46</f>
        <v>0.406418</v>
      </c>
      <c r="E46" s="25">
        <f>E45*B46</f>
        <v>0.812836</v>
      </c>
      <c r="F46" s="24">
        <v>30</v>
      </c>
      <c r="G46" s="30">
        <f>C46*F46</f>
        <v>9.7540320000000005</v>
      </c>
      <c r="H46" s="30">
        <f>D46*F46</f>
        <v>12.192539999999999</v>
      </c>
      <c r="I46" s="30">
        <f>E46*F46</f>
        <v>24.385079999999999</v>
      </c>
      <c r="J46" s="41"/>
      <c r="K46" s="41"/>
      <c r="L46" s="6"/>
      <c r="M46" s="6"/>
      <c r="N46" s="5"/>
    </row>
    <row r="47" spans="1:19">
      <c r="A47" s="24" t="s">
        <v>5</v>
      </c>
      <c r="B47" s="24">
        <v>0.1904769</v>
      </c>
      <c r="C47" s="25">
        <f>C45*B47</f>
        <v>0.38095380000000001</v>
      </c>
      <c r="D47" s="25">
        <f>D45*B47</f>
        <v>0.47619224999999998</v>
      </c>
      <c r="E47" s="25">
        <f>E45*B47</f>
        <v>0.95238449999999997</v>
      </c>
      <c r="F47" s="24">
        <v>30</v>
      </c>
      <c r="G47" s="30">
        <f>C47*F47</f>
        <v>11.428614</v>
      </c>
      <c r="H47" s="30">
        <f>D47*F47</f>
        <v>14.285767499999999</v>
      </c>
      <c r="I47" s="30">
        <f t="shared" ref="I47:I54" si="21">E47*F47</f>
        <v>28.571534999999997</v>
      </c>
      <c r="J47" s="41" t="s">
        <v>36</v>
      </c>
      <c r="K47" s="41"/>
      <c r="L47" s="6">
        <f>3.1415*(L44*L44)</f>
        <v>12.566000000000001</v>
      </c>
      <c r="M47" s="6">
        <f>3.1415*(M44*M44)</f>
        <v>19.634375000000002</v>
      </c>
      <c r="N47" s="6">
        <f>3.1415*(N44*N44)</f>
        <v>78.537500000000009</v>
      </c>
    </row>
    <row r="48" spans="1:19">
      <c r="A48" s="24" t="s">
        <v>6</v>
      </c>
      <c r="B48" s="24">
        <v>0.1819083</v>
      </c>
      <c r="C48" s="25">
        <f>C45*B48</f>
        <v>0.36381659999999999</v>
      </c>
      <c r="D48" s="25">
        <f>D45*B48</f>
        <v>0.45477075</v>
      </c>
      <c r="E48" s="25">
        <f>E45*B48</f>
        <v>0.9095415</v>
      </c>
      <c r="F48" s="24">
        <v>60</v>
      </c>
      <c r="G48" s="30">
        <f>C48*F48</f>
        <v>21.828996</v>
      </c>
      <c r="H48" s="30">
        <f t="shared" ref="H48:H54" si="22">D48*F48</f>
        <v>27.286245000000001</v>
      </c>
      <c r="I48" s="30">
        <f t="shared" si="21"/>
        <v>54.572490000000002</v>
      </c>
      <c r="J48" s="41"/>
      <c r="K48" s="41"/>
      <c r="L48" s="5"/>
      <c r="M48" s="5"/>
      <c r="N48" s="5"/>
      <c r="O48">
        <f t="shared" ref="O48:O49" si="23">L48*32</f>
        <v>0</v>
      </c>
    </row>
    <row r="49" spans="1:15">
      <c r="A49" s="24" t="s">
        <v>7</v>
      </c>
      <c r="B49" s="24">
        <v>0.20281969999999999</v>
      </c>
      <c r="C49" s="25">
        <f>C45*B49</f>
        <v>0.40563939999999998</v>
      </c>
      <c r="D49" s="25">
        <f>D45*B49</f>
        <v>0.50704925000000001</v>
      </c>
      <c r="E49" s="25">
        <f>E45*B49</f>
        <v>1.0140985</v>
      </c>
      <c r="F49" s="24">
        <v>90</v>
      </c>
      <c r="G49" s="30">
        <f t="shared" ref="G49:G54" si="24">C49*F49</f>
        <v>36.507545999999998</v>
      </c>
      <c r="H49" s="30">
        <f t="shared" si="22"/>
        <v>45.634432500000003</v>
      </c>
      <c r="I49" s="30">
        <f t="shared" si="21"/>
        <v>91.268865000000005</v>
      </c>
      <c r="J49" s="41" t="s">
        <v>50</v>
      </c>
      <c r="K49" s="41"/>
      <c r="L49" s="6">
        <f>(2*3.1415)*(L44*L44)</f>
        <v>25.132000000000001</v>
      </c>
      <c r="M49" s="6">
        <f t="shared" ref="M49:N49" si="25">(2*3.1415)*(M44*M44)</f>
        <v>39.268750000000004</v>
      </c>
      <c r="N49" s="6">
        <f t="shared" si="25"/>
        <v>157.07500000000002</v>
      </c>
      <c r="O49">
        <f t="shared" si="23"/>
        <v>804.22400000000005</v>
      </c>
    </row>
    <row r="50" spans="1:15">
      <c r="A50" s="24" t="s">
        <v>8</v>
      </c>
      <c r="B50" s="24">
        <v>0.18738340000000001</v>
      </c>
      <c r="C50" s="25">
        <f>C45*B50</f>
        <v>0.37476680000000001</v>
      </c>
      <c r="D50" s="25">
        <f>D45*B50</f>
        <v>0.4684585</v>
      </c>
      <c r="E50" s="25">
        <f>E45*B50</f>
        <v>0.936917</v>
      </c>
      <c r="F50" s="24">
        <v>30</v>
      </c>
      <c r="G50" s="30">
        <f t="shared" si="24"/>
        <v>11.243004000000001</v>
      </c>
      <c r="H50" s="30">
        <f t="shared" si="22"/>
        <v>14.053755000000001</v>
      </c>
      <c r="I50" s="30">
        <f t="shared" si="21"/>
        <v>28.107510000000001</v>
      </c>
      <c r="J50" s="41" t="s">
        <v>20</v>
      </c>
      <c r="K50" s="41"/>
      <c r="L50" s="6">
        <f t="shared" ref="L50:M50" si="26">L47/2</f>
        <v>6.2830000000000004</v>
      </c>
      <c r="M50" s="6">
        <f t="shared" si="26"/>
        <v>9.8171875000000011</v>
      </c>
      <c r="N50" s="6">
        <f>N47/2</f>
        <v>39.268750000000004</v>
      </c>
    </row>
    <row r="51" spans="1:15">
      <c r="A51" s="24" t="s">
        <v>9</v>
      </c>
      <c r="B51" s="24">
        <v>0.19801260000000001</v>
      </c>
      <c r="C51" s="25">
        <f>C45*B51</f>
        <v>0.39602520000000002</v>
      </c>
      <c r="D51" s="25">
        <f>D45*B51</f>
        <v>0.49503150000000001</v>
      </c>
      <c r="E51" s="25">
        <f>E45*B51</f>
        <v>0.99006300000000003</v>
      </c>
      <c r="F51" s="24">
        <v>60</v>
      </c>
      <c r="G51" s="30">
        <f t="shared" si="24"/>
        <v>23.761512</v>
      </c>
      <c r="H51" s="30">
        <f t="shared" si="22"/>
        <v>29.701890000000002</v>
      </c>
      <c r="I51" s="30">
        <f t="shared" si="21"/>
        <v>59.403780000000005</v>
      </c>
      <c r="J51" s="41" t="s">
        <v>30</v>
      </c>
      <c r="K51" s="41"/>
      <c r="L51" s="6">
        <f>3.1415*L44-0.7</f>
        <v>5.5830000000000002</v>
      </c>
      <c r="M51" s="6">
        <f t="shared" ref="M51:N51" si="27">3.1415*M44-0.7</f>
        <v>7.1537500000000005</v>
      </c>
      <c r="N51" s="6">
        <f t="shared" si="27"/>
        <v>15.007500000000002</v>
      </c>
    </row>
    <row r="52" spans="1:15">
      <c r="A52" s="24" t="s">
        <v>10</v>
      </c>
      <c r="B52" s="24">
        <v>0.2059077</v>
      </c>
      <c r="C52" s="25">
        <f>C45*B52</f>
        <v>0.4118154</v>
      </c>
      <c r="D52" s="25">
        <f>D45*B52</f>
        <v>0.51476924999999996</v>
      </c>
      <c r="E52" s="25">
        <f>E45*B52</f>
        <v>1.0295384999999999</v>
      </c>
      <c r="F52" s="24">
        <v>130</v>
      </c>
      <c r="G52" s="30">
        <f t="shared" si="24"/>
        <v>53.536001999999996</v>
      </c>
      <c r="H52" s="30">
        <f t="shared" si="22"/>
        <v>66.920002499999995</v>
      </c>
      <c r="I52" s="30">
        <f t="shared" si="21"/>
        <v>133.84000499999999</v>
      </c>
      <c r="J52" s="41" t="s">
        <v>31</v>
      </c>
      <c r="K52" s="41"/>
      <c r="L52" s="7">
        <f>L47-(3.1415*((L44/3)*(L44/3)))</f>
        <v>11.169777777777778</v>
      </c>
      <c r="M52" s="7">
        <f t="shared" ref="M52" si="28">M47-(3.1415*((M44/3)*(M44/3)))</f>
        <v>17.452777777777779</v>
      </c>
      <c r="N52" s="7">
        <f>N47-(3.1415*((N44/3)*(N44/3)))</f>
        <v>69.811111111111117</v>
      </c>
    </row>
    <row r="53" spans="1:15">
      <c r="A53" s="24" t="s">
        <v>11</v>
      </c>
      <c r="B53" s="24">
        <v>0.21535370000000001</v>
      </c>
      <c r="C53" s="25">
        <f>C45*B53</f>
        <v>0.43070740000000002</v>
      </c>
      <c r="D53" s="25">
        <f>D45*B53</f>
        <v>0.53838425000000001</v>
      </c>
      <c r="E53" s="25">
        <f>E45*B53</f>
        <v>1.0767685</v>
      </c>
      <c r="F53" s="24">
        <v>65</v>
      </c>
      <c r="G53" s="30">
        <f t="shared" si="24"/>
        <v>27.995981</v>
      </c>
      <c r="H53" s="30">
        <f t="shared" si="22"/>
        <v>34.994976250000001</v>
      </c>
      <c r="I53" s="30">
        <f t="shared" si="21"/>
        <v>69.989952500000001</v>
      </c>
      <c r="J53" s="44" t="s">
        <v>32</v>
      </c>
      <c r="K53" s="44"/>
      <c r="L53" s="48">
        <f>L44/3</f>
        <v>0.66666666666666663</v>
      </c>
      <c r="M53" s="48">
        <f t="shared" ref="M53:N53" si="29">M44/3</f>
        <v>0.83333333333333337</v>
      </c>
      <c r="N53" s="48">
        <f t="shared" si="29"/>
        <v>1.6666666666666667</v>
      </c>
    </row>
    <row r="54" spans="1:15">
      <c r="A54" s="24" t="s">
        <v>12</v>
      </c>
      <c r="B54" s="24">
        <v>0.21662819999999999</v>
      </c>
      <c r="C54" s="25">
        <f>C45*B54</f>
        <v>0.43325639999999999</v>
      </c>
      <c r="D54" s="25">
        <f>D45*B54</f>
        <v>0.54157049999999995</v>
      </c>
      <c r="E54" s="25">
        <f>E45*B54</f>
        <v>1.0831409999999999</v>
      </c>
      <c r="F54" s="24">
        <v>60</v>
      </c>
      <c r="G54" s="30">
        <f t="shared" si="24"/>
        <v>25.995383999999998</v>
      </c>
      <c r="H54" s="30">
        <f t="shared" si="22"/>
        <v>32.494229999999995</v>
      </c>
      <c r="I54" s="30">
        <f t="shared" si="21"/>
        <v>64.988459999999989</v>
      </c>
      <c r="J54" s="44"/>
      <c r="K54" s="44"/>
      <c r="L54" s="48"/>
      <c r="M54" s="48"/>
      <c r="N54" s="48"/>
    </row>
    <row r="55" spans="1:15">
      <c r="A55" s="32" t="s">
        <v>13</v>
      </c>
      <c r="B55" s="24"/>
      <c r="C55" s="25"/>
      <c r="D55" s="25"/>
      <c r="E55" s="25"/>
      <c r="F55" s="30">
        <f>SUM(F46:F54)</f>
        <v>555</v>
      </c>
      <c r="G55" s="30">
        <f>SUM(G46:G54)</f>
        <v>222.05107099999998</v>
      </c>
      <c r="H55" s="30">
        <f>SUM(H46:H54)</f>
        <v>277.56383875</v>
      </c>
      <c r="I55" s="30">
        <f>SUM(I46:I54)</f>
        <v>555.1276775</v>
      </c>
      <c r="J55" s="44" t="s">
        <v>33</v>
      </c>
      <c r="K55" s="46"/>
      <c r="L55" s="8">
        <f>L47-L52</f>
        <v>1.3962222222222227</v>
      </c>
      <c r="M55" s="8">
        <f>M47-M52</f>
        <v>2.1815972222222229</v>
      </c>
      <c r="N55" s="8">
        <f>N47-N52</f>
        <v>8.7263888888888914</v>
      </c>
    </row>
    <row r="56" spans="1:15" ht="26.25">
      <c r="A56" s="44" t="s">
        <v>18</v>
      </c>
      <c r="B56" s="46"/>
      <c r="C56" s="26">
        <f>3.1415*(C45*C45)</f>
        <v>12.566000000000001</v>
      </c>
      <c r="D56" s="26">
        <f>3.1415*(D45*D45)</f>
        <v>19.634375000000002</v>
      </c>
      <c r="E56" s="26">
        <f>3.1415*(E45*E45)</f>
        <v>78.537500000000009</v>
      </c>
      <c r="F56" s="27" t="s">
        <v>40</v>
      </c>
      <c r="G56" s="25">
        <f>G45/100</f>
        <v>0.02</v>
      </c>
      <c r="H56" s="4">
        <f>H45/125</f>
        <v>0.02</v>
      </c>
      <c r="I56" s="4">
        <f>I45/100</f>
        <v>0.05</v>
      </c>
      <c r="J56" s="41" t="s">
        <v>37</v>
      </c>
      <c r="K56" s="41"/>
      <c r="L56" s="5">
        <f>(3.1415*((L44-G56)*(L44-G56)*(L44-G56)))/2</f>
        <v>12.192777233999999</v>
      </c>
      <c r="M56" s="5">
        <f t="shared" ref="M56:N56" si="30">(3.1415*((M44-H56)*(M44-H56)*(M44-H56)))/2</f>
        <v>23.958637184000004</v>
      </c>
      <c r="N56" s="5">
        <f t="shared" si="30"/>
        <v>190.51214428125002</v>
      </c>
    </row>
    <row r="57" spans="1:15" ht="26.25">
      <c r="A57" s="21"/>
      <c r="B57" s="22"/>
      <c r="C57" s="4"/>
      <c r="D57" s="4"/>
      <c r="E57" s="4"/>
      <c r="F57" s="27" t="s">
        <v>41</v>
      </c>
      <c r="G57" s="25">
        <f>G45/50</f>
        <v>0.04</v>
      </c>
      <c r="H57" s="25">
        <f t="shared" ref="H57:I57" si="31">H45/50</f>
        <v>0.05</v>
      </c>
      <c r="I57" s="25">
        <f t="shared" si="31"/>
        <v>0.1</v>
      </c>
      <c r="J57" s="41" t="s">
        <v>39</v>
      </c>
      <c r="K57" s="41"/>
      <c r="L57" s="9">
        <f>(3.1415*(L44*L44*L44))/2</f>
        <v>12.566000000000001</v>
      </c>
      <c r="M57" s="9">
        <f>(3.1415*(M44*M44*M44))/2</f>
        <v>24.54296875</v>
      </c>
      <c r="N57" s="9">
        <f>(3.1415*(N44*N44*N44))/2</f>
        <v>196.34375</v>
      </c>
    </row>
    <row r="58" spans="1:15" ht="26.25">
      <c r="A58" s="44"/>
      <c r="B58" s="46"/>
      <c r="C58" s="4"/>
      <c r="D58" s="4"/>
      <c r="E58" s="4"/>
      <c r="F58" s="27" t="s">
        <v>42</v>
      </c>
      <c r="G58" s="28">
        <f>G57*G56*G55</f>
        <v>0.1776408568</v>
      </c>
      <c r="H58" s="28">
        <f t="shared" ref="H58:I58" si="32">H57*H56*H55</f>
        <v>0.27756383875000001</v>
      </c>
      <c r="I58" s="28">
        <f t="shared" si="32"/>
        <v>2.7756383875000004</v>
      </c>
      <c r="J58" s="41" t="s">
        <v>38</v>
      </c>
      <c r="K58" s="41"/>
      <c r="L58" s="5">
        <f>L57-L56</f>
        <v>0.37322276600000137</v>
      </c>
      <c r="M58" s="5">
        <f t="shared" ref="M58:N58" si="33">M57-M56</f>
        <v>0.58433156599999592</v>
      </c>
      <c r="N58" s="5">
        <f t="shared" si="33"/>
        <v>5.8316057187499837</v>
      </c>
    </row>
    <row r="59" spans="1:15" ht="34.5">
      <c r="A59" s="21"/>
      <c r="B59" s="22"/>
      <c r="C59" s="4"/>
      <c r="D59" s="4"/>
      <c r="E59" s="4"/>
      <c r="F59" s="24" t="s">
        <v>43</v>
      </c>
      <c r="G59" s="30">
        <f>G58*7000</f>
        <v>1243.4859976</v>
      </c>
      <c r="H59" s="30">
        <f t="shared" ref="H59:I59" si="34">H58*7000</f>
        <v>1942.9468712500002</v>
      </c>
      <c r="I59" s="30">
        <f t="shared" si="34"/>
        <v>19429.468712500002</v>
      </c>
      <c r="J59" s="9">
        <v>7.4999999999999997E-2</v>
      </c>
      <c r="K59" s="9">
        <v>2.5000000000000001E-2</v>
      </c>
      <c r="L59" s="5">
        <f>J59*K59*G55</f>
        <v>0.41634575812499997</v>
      </c>
      <c r="M59" s="5">
        <f>J59*K59*H55</f>
        <v>0.52043219765625004</v>
      </c>
      <c r="N59" s="5">
        <f>J59*K59*I55</f>
        <v>1.0408643953125001</v>
      </c>
    </row>
    <row r="60" spans="1:15" ht="34.5">
      <c r="A60" s="21"/>
      <c r="B60" s="22"/>
      <c r="C60" s="4"/>
      <c r="D60" s="4"/>
      <c r="E60" s="4"/>
      <c r="F60" s="24" t="s">
        <v>44</v>
      </c>
      <c r="G60" s="4" t="e">
        <f>(#REF!*20)+(#REF!*10)</f>
        <v>#REF!</v>
      </c>
      <c r="H60" s="4" t="e">
        <f>(#REF!*20)+(#REF!*10)</f>
        <v>#REF!</v>
      </c>
      <c r="I60" s="4" t="e">
        <f>(#REF!*20)+(#REF!*10)</f>
        <v>#REF!</v>
      </c>
      <c r="J60" s="5">
        <v>0.1</v>
      </c>
      <c r="K60" s="5">
        <v>0.03</v>
      </c>
      <c r="L60" s="5">
        <f>J60*K60*G55</f>
        <v>0.66615321299999997</v>
      </c>
      <c r="M60" s="5">
        <f>J60*K60*H55</f>
        <v>0.83269151625000004</v>
      </c>
      <c r="N60" s="5">
        <f>J60*K60*I55</f>
        <v>1.6653830325000001</v>
      </c>
    </row>
    <row r="61" spans="1:15" ht="23.25">
      <c r="A61" s="21"/>
      <c r="B61" s="22"/>
      <c r="C61" s="4"/>
      <c r="D61" s="4"/>
      <c r="E61" s="4"/>
      <c r="F61" s="24" t="s">
        <v>45</v>
      </c>
      <c r="G61" s="26">
        <f>L49*1.1</f>
        <v>27.645200000000003</v>
      </c>
      <c r="H61" s="26">
        <f t="shared" ref="H61:I61" si="35">M49*1.1</f>
        <v>43.195625000000007</v>
      </c>
      <c r="I61" s="26">
        <f t="shared" si="35"/>
        <v>172.78250000000003</v>
      </c>
    </row>
    <row r="62" spans="1:15" ht="23.25">
      <c r="A62" s="21"/>
      <c r="B62" s="22"/>
      <c r="C62" s="4"/>
      <c r="D62" s="4"/>
      <c r="E62" s="4"/>
      <c r="F62" s="24" t="s">
        <v>46</v>
      </c>
      <c r="G62" s="26">
        <f>(G61*100)*2</f>
        <v>5529.0400000000009</v>
      </c>
      <c r="H62" s="26">
        <f t="shared" ref="H62:I62" si="36">(H61*100)*2</f>
        <v>8639.1250000000018</v>
      </c>
      <c r="I62" s="26">
        <f t="shared" si="36"/>
        <v>34556.500000000007</v>
      </c>
    </row>
    <row r="63" spans="1:15" ht="23.25">
      <c r="A63" s="21"/>
      <c r="B63" s="22"/>
      <c r="C63" s="4"/>
      <c r="D63" s="4"/>
      <c r="E63" s="4"/>
      <c r="F63" s="24" t="s">
        <v>47</v>
      </c>
      <c r="G63" s="26" t="e">
        <f>G62+G60+G59</f>
        <v>#REF!</v>
      </c>
      <c r="H63" s="26" t="e">
        <f t="shared" ref="H63:I63" si="37">H62+H60+H59</f>
        <v>#REF!</v>
      </c>
      <c r="I63" s="26" t="e">
        <f t="shared" si="37"/>
        <v>#REF!</v>
      </c>
    </row>
    <row r="64" spans="1:15" ht="23.25">
      <c r="A64" s="21"/>
      <c r="B64" s="22"/>
      <c r="C64" s="4"/>
      <c r="D64" s="4"/>
      <c r="E64" s="4"/>
      <c r="F64" s="24" t="s">
        <v>48</v>
      </c>
      <c r="G64" s="26">
        <v>10</v>
      </c>
      <c r="H64" s="26"/>
      <c r="I64" s="26"/>
    </row>
    <row r="65" spans="1:13" ht="23.25">
      <c r="A65" s="21"/>
      <c r="B65" s="22"/>
      <c r="C65" s="4"/>
      <c r="D65" s="4"/>
      <c r="E65" s="4"/>
      <c r="F65" s="24" t="s">
        <v>49</v>
      </c>
      <c r="G65" s="26">
        <f>G64*2000</f>
        <v>20000</v>
      </c>
      <c r="H65" s="26"/>
      <c r="I65" s="26"/>
    </row>
    <row r="66" spans="1:13" ht="41.25" customHeight="1">
      <c r="A66" s="21"/>
      <c r="B66" s="22"/>
      <c r="C66" s="33" t="s">
        <v>76</v>
      </c>
      <c r="D66" s="33" t="s">
        <v>77</v>
      </c>
      <c r="E66" s="4" t="s">
        <v>78</v>
      </c>
      <c r="F66" s="24"/>
      <c r="G66" s="26" t="s">
        <v>26</v>
      </c>
      <c r="H66" s="26"/>
      <c r="I66" s="26"/>
    </row>
    <row r="67" spans="1:13" ht="36.75" customHeight="1">
      <c r="A67" s="44" t="s">
        <v>14</v>
      </c>
      <c r="B67" s="44"/>
      <c r="C67" s="4">
        <v>0.1</v>
      </c>
      <c r="D67" s="4">
        <v>0.4</v>
      </c>
      <c r="E67" s="4">
        <f>('сведения о материалах'!B2*Лист1!C67)+(('сведения о материалах'!B1*Лист1!D67)*4)</f>
        <v>1.1200000000000001</v>
      </c>
      <c r="F67" s="24">
        <v>30</v>
      </c>
      <c r="G67" s="26">
        <v>120</v>
      </c>
      <c r="H67" s="26">
        <v>120</v>
      </c>
      <c r="I67" s="26">
        <v>120</v>
      </c>
    </row>
    <row r="68" spans="1:13" ht="36.75" customHeight="1">
      <c r="A68" s="44" t="s">
        <v>15</v>
      </c>
      <c r="B68" s="44"/>
      <c r="C68" s="4">
        <v>0.1</v>
      </c>
      <c r="D68" s="4">
        <v>0.4</v>
      </c>
      <c r="E68" s="4">
        <f>('сведения о материалах'!B2*Лист1!C68)+(('сведения о материалах'!B1*Лист1!D68)*5)</f>
        <v>1.278</v>
      </c>
      <c r="F68" s="24">
        <v>6</v>
      </c>
      <c r="G68" s="26">
        <v>30</v>
      </c>
      <c r="H68" s="26">
        <v>30</v>
      </c>
      <c r="I68" s="26">
        <v>30</v>
      </c>
    </row>
    <row r="69" spans="1:13" ht="36.75" customHeight="1">
      <c r="A69" s="44" t="s">
        <v>16</v>
      </c>
      <c r="B69" s="44"/>
      <c r="C69" s="4">
        <v>0.1</v>
      </c>
      <c r="D69" s="4">
        <v>0.4</v>
      </c>
      <c r="E69" s="4">
        <f>('сведения о материалах'!B2*Лист1!C69)+(('сведения о материалах'!B1*Лист1!D69)*6)</f>
        <v>1.4360000000000002</v>
      </c>
      <c r="F69" s="24">
        <v>160</v>
      </c>
      <c r="G69" s="26">
        <v>960</v>
      </c>
      <c r="H69" s="26">
        <v>960</v>
      </c>
      <c r="I69" s="26">
        <v>960</v>
      </c>
    </row>
    <row r="70" spans="1:13">
      <c r="A70" s="4" t="s">
        <v>27</v>
      </c>
      <c r="B70" s="22"/>
      <c r="C70" s="4"/>
      <c r="D70" s="4"/>
      <c r="E70" s="5">
        <f>(E67*F67)+(E68*F68)+(E69*F69)</f>
        <v>271.02800000000002</v>
      </c>
      <c r="F70" s="24">
        <v>196</v>
      </c>
      <c r="G70" s="26">
        <v>1110</v>
      </c>
      <c r="H70" s="26">
        <v>1110</v>
      </c>
      <c r="I70" s="26">
        <v>1110</v>
      </c>
    </row>
    <row r="71" spans="1:13">
      <c r="A71" s="16"/>
      <c r="B71" s="17"/>
      <c r="C71" s="15"/>
      <c r="D71" s="15"/>
      <c r="E71" s="15"/>
      <c r="F71" s="18"/>
      <c r="G71" s="19"/>
      <c r="H71" s="19"/>
      <c r="I71" s="19"/>
    </row>
    <row r="72" spans="1:13">
      <c r="A72" s="16"/>
      <c r="B72" s="17"/>
      <c r="C72" s="15"/>
      <c r="D72" s="15"/>
      <c r="E72" s="15"/>
      <c r="F72" s="18"/>
      <c r="G72" s="19"/>
      <c r="H72" s="19"/>
      <c r="I72" s="19"/>
    </row>
    <row r="73" spans="1:13">
      <c r="G73" s="14"/>
      <c r="H73" s="14"/>
      <c r="I73" s="14"/>
    </row>
    <row r="74" spans="1:13">
      <c r="A74" s="5" t="s">
        <v>28</v>
      </c>
      <c r="B74" s="5"/>
      <c r="C74" s="5"/>
      <c r="D74" s="5"/>
      <c r="E74" s="5"/>
      <c r="F74" s="5"/>
      <c r="G74" s="5"/>
      <c r="H74" s="5"/>
      <c r="I74" s="5"/>
    </row>
    <row r="75" spans="1:13">
      <c r="A75" s="43" t="s">
        <v>0</v>
      </c>
      <c r="B75" s="43" t="s">
        <v>1</v>
      </c>
      <c r="C75" s="45" t="s">
        <v>17</v>
      </c>
      <c r="D75" s="45"/>
      <c r="E75" s="45"/>
      <c r="F75" s="5"/>
      <c r="G75" s="5"/>
      <c r="H75" s="5"/>
      <c r="I75" s="5"/>
      <c r="K75">
        <v>6</v>
      </c>
      <c r="L75" s="50" t="s">
        <v>35</v>
      </c>
      <c r="M75" s="50"/>
    </row>
    <row r="76" spans="1:13">
      <c r="A76" s="43"/>
      <c r="B76" s="43"/>
      <c r="C76" s="4">
        <v>2</v>
      </c>
      <c r="D76" s="4">
        <v>2.5</v>
      </c>
      <c r="E76" s="4">
        <v>6</v>
      </c>
      <c r="F76" s="43" t="s">
        <v>2</v>
      </c>
      <c r="G76" s="45" t="s">
        <v>3</v>
      </c>
      <c r="H76" s="45"/>
      <c r="I76" s="45"/>
      <c r="J76" t="s">
        <v>34</v>
      </c>
    </row>
    <row r="77" spans="1:13">
      <c r="A77" s="24" t="s">
        <v>4</v>
      </c>
      <c r="B77" s="24">
        <v>0.25318000000000002</v>
      </c>
      <c r="C77" s="25">
        <f>C76*B77</f>
        <v>0.50636000000000003</v>
      </c>
      <c r="D77" s="25">
        <f>D76*B77</f>
        <v>0.63295000000000001</v>
      </c>
      <c r="E77" s="25">
        <f>E76*B77</f>
        <v>1.5190800000000002</v>
      </c>
      <c r="F77" s="43"/>
      <c r="G77" s="4">
        <f>C76</f>
        <v>2</v>
      </c>
      <c r="H77" s="4">
        <f>D76</f>
        <v>2.5</v>
      </c>
      <c r="I77" s="4">
        <f>E76</f>
        <v>6</v>
      </c>
      <c r="J77" s="23" t="s">
        <v>4</v>
      </c>
      <c r="K77">
        <f>K75/C77</f>
        <v>11.84927719409116</v>
      </c>
      <c r="L77">
        <f t="shared" ref="L77:L82" si="38">F78/K77</f>
        <v>2.5318000000000001</v>
      </c>
    </row>
    <row r="78" spans="1:13">
      <c r="A78" s="24" t="s">
        <v>5</v>
      </c>
      <c r="B78" s="24">
        <v>0.29524</v>
      </c>
      <c r="C78" s="25">
        <f>C76*B78</f>
        <v>0.59048</v>
      </c>
      <c r="D78" s="25">
        <f>D76*B78</f>
        <v>0.73809999999999998</v>
      </c>
      <c r="E78" s="25">
        <f>E76*B78</f>
        <v>1.7714400000000001</v>
      </c>
      <c r="F78" s="24">
        <v>30</v>
      </c>
      <c r="G78" s="4">
        <f t="shared" ref="G78:G83" si="39">C77*F78</f>
        <v>15.190800000000001</v>
      </c>
      <c r="H78" s="4">
        <f t="shared" ref="H78:H83" si="40">D77*F78</f>
        <v>18.988500000000002</v>
      </c>
      <c r="I78" s="4">
        <f t="shared" ref="I78:I83" si="41">E77*F78</f>
        <v>45.572400000000009</v>
      </c>
      <c r="J78" s="23" t="s">
        <v>5</v>
      </c>
      <c r="K78">
        <f>K75/C78</f>
        <v>10.161224766291831</v>
      </c>
      <c r="L78">
        <f t="shared" si="38"/>
        <v>2.9523999999999999</v>
      </c>
    </row>
    <row r="79" spans="1:13">
      <c r="A79" s="24" t="s">
        <v>6</v>
      </c>
      <c r="B79" s="24">
        <v>0.29453000000000001</v>
      </c>
      <c r="C79" s="25">
        <f>C76*B79</f>
        <v>0.58906000000000003</v>
      </c>
      <c r="D79" s="25">
        <f>D76*B79</f>
        <v>0.73632500000000001</v>
      </c>
      <c r="E79" s="25">
        <f>E76*B79</f>
        <v>1.7671800000000002</v>
      </c>
      <c r="F79" s="24">
        <v>30</v>
      </c>
      <c r="G79" s="4">
        <f t="shared" si="39"/>
        <v>17.714400000000001</v>
      </c>
      <c r="H79" s="4">
        <f t="shared" si="40"/>
        <v>22.143000000000001</v>
      </c>
      <c r="I79" s="4">
        <f t="shared" si="41"/>
        <v>53.143200000000007</v>
      </c>
      <c r="J79" s="23" t="s">
        <v>6</v>
      </c>
      <c r="K79">
        <f>K75/C79</f>
        <v>10.185719621091229</v>
      </c>
      <c r="L79">
        <f t="shared" si="38"/>
        <v>5.8906000000000009</v>
      </c>
    </row>
    <row r="80" spans="1:13">
      <c r="A80" s="24" t="s">
        <v>7</v>
      </c>
      <c r="B80" s="24">
        <v>0.31286999999999998</v>
      </c>
      <c r="C80" s="25">
        <f>C76*B80</f>
        <v>0.62573999999999996</v>
      </c>
      <c r="D80" s="25">
        <f>D76*B80</f>
        <v>0.78217499999999995</v>
      </c>
      <c r="E80" s="25">
        <f>E76*B80</f>
        <v>1.8772199999999999</v>
      </c>
      <c r="F80" s="24">
        <v>60</v>
      </c>
      <c r="G80" s="4">
        <f t="shared" si="39"/>
        <v>35.343600000000002</v>
      </c>
      <c r="H80" s="4">
        <f t="shared" si="40"/>
        <v>44.179499999999997</v>
      </c>
      <c r="I80" s="4">
        <f t="shared" si="41"/>
        <v>106.03080000000001</v>
      </c>
      <c r="J80" s="23" t="s">
        <v>7</v>
      </c>
      <c r="K80">
        <f>K75/C80</f>
        <v>9.5886470419023873</v>
      </c>
      <c r="L80">
        <f t="shared" si="38"/>
        <v>7.3003</v>
      </c>
    </row>
    <row r="81" spans="1:12" ht="15.75" customHeight="1">
      <c r="A81" s="24" t="s">
        <v>8</v>
      </c>
      <c r="B81" s="24">
        <v>0.32491999999999999</v>
      </c>
      <c r="C81" s="25">
        <f>C76*B81</f>
        <v>0.64983999999999997</v>
      </c>
      <c r="D81" s="25">
        <f>D76*B81</f>
        <v>0.81230000000000002</v>
      </c>
      <c r="E81" s="25">
        <f>E76*B81</f>
        <v>1.9495199999999999</v>
      </c>
      <c r="F81" s="24">
        <v>70</v>
      </c>
      <c r="G81" s="4">
        <f t="shared" si="39"/>
        <v>43.8018</v>
      </c>
      <c r="H81" s="4">
        <f t="shared" si="40"/>
        <v>54.752249999999997</v>
      </c>
      <c r="I81" s="4">
        <f t="shared" si="41"/>
        <v>131.40539999999999</v>
      </c>
      <c r="J81" s="23" t="s">
        <v>8</v>
      </c>
      <c r="K81">
        <f>K75/C81</f>
        <v>9.2330419795642005</v>
      </c>
      <c r="L81">
        <f t="shared" si="38"/>
        <v>3.2492000000000001</v>
      </c>
    </row>
    <row r="82" spans="1:12" ht="22.5" customHeight="1">
      <c r="A82" s="24" t="s">
        <v>9</v>
      </c>
      <c r="B82" s="24">
        <v>0.29859000000000002</v>
      </c>
      <c r="C82" s="25">
        <f>C76*B82</f>
        <v>0.59718000000000004</v>
      </c>
      <c r="D82" s="25">
        <f>D76*B82</f>
        <v>0.746475</v>
      </c>
      <c r="E82" s="25">
        <f>E76*B82</f>
        <v>1.7915400000000001</v>
      </c>
      <c r="F82" s="24">
        <v>30</v>
      </c>
      <c r="G82" s="4">
        <f t="shared" si="39"/>
        <v>19.495200000000001</v>
      </c>
      <c r="H82" s="4">
        <f t="shared" si="40"/>
        <v>24.369</v>
      </c>
      <c r="I82" s="4">
        <f t="shared" si="41"/>
        <v>58.485599999999998</v>
      </c>
      <c r="J82" s="23" t="s">
        <v>9</v>
      </c>
      <c r="K82">
        <f>K75/C82</f>
        <v>10.047221943132723</v>
      </c>
      <c r="L82">
        <f t="shared" si="38"/>
        <v>2.9859000000000004</v>
      </c>
    </row>
    <row r="83" spans="1:12" ht="22.5" customHeight="1">
      <c r="A83" s="44" t="s">
        <v>18</v>
      </c>
      <c r="B83" s="46"/>
      <c r="C83" s="4">
        <f>3.1415*(C76*C76)</f>
        <v>12.566000000000001</v>
      </c>
      <c r="D83" s="4">
        <f>3.1415*(D76*D76)</f>
        <v>19.634375000000002</v>
      </c>
      <c r="E83" s="4">
        <f>3.1415*(E76*E76)</f>
        <v>113.09400000000001</v>
      </c>
      <c r="F83" s="24">
        <v>30</v>
      </c>
      <c r="G83" s="4">
        <f t="shared" si="39"/>
        <v>17.915400000000002</v>
      </c>
      <c r="H83" s="4">
        <f t="shared" si="40"/>
        <v>22.39425</v>
      </c>
      <c r="I83" s="4">
        <f t="shared" si="41"/>
        <v>53.746200000000002</v>
      </c>
    </row>
    <row r="84" spans="1:12" ht="22.5" customHeight="1">
      <c r="A84" s="21"/>
      <c r="B84" s="22"/>
      <c r="C84" s="4"/>
      <c r="D84" s="4"/>
      <c r="E84" s="24" t="s">
        <v>13</v>
      </c>
      <c r="F84" s="24">
        <f>SUM(F78:F83)</f>
        <v>250</v>
      </c>
      <c r="G84" s="26">
        <f>SUM(G78:G83)</f>
        <v>149.46120000000002</v>
      </c>
      <c r="H84" s="26">
        <f>SUM(H78:H83)</f>
        <v>186.82650000000001</v>
      </c>
      <c r="I84" s="26">
        <f>SUM(I78:I83)</f>
        <v>448.3836</v>
      </c>
    </row>
    <row r="85" spans="1:12" ht="26.25">
      <c r="A85" s="21"/>
      <c r="B85" s="22"/>
      <c r="C85" s="4"/>
      <c r="D85" s="4"/>
      <c r="E85" s="4"/>
      <c r="F85" s="27" t="s">
        <v>22</v>
      </c>
      <c r="G85" s="4">
        <v>10</v>
      </c>
      <c r="H85" s="4">
        <v>20</v>
      </c>
      <c r="I85" s="4">
        <v>25</v>
      </c>
    </row>
    <row r="86" spans="1:12">
      <c r="A86" s="44"/>
      <c r="B86" s="46"/>
      <c r="C86" s="4"/>
      <c r="D86" s="4"/>
      <c r="E86" s="4"/>
      <c r="F86" s="24" t="s">
        <v>23</v>
      </c>
      <c r="G86" s="28">
        <f>0.3*G84</f>
        <v>44.838360000000002</v>
      </c>
      <c r="H86" s="28">
        <f>0.93*H84</f>
        <v>173.74864500000001</v>
      </c>
      <c r="I86" s="28">
        <f>1.554*I84</f>
        <v>696.78811440000004</v>
      </c>
    </row>
    <row r="87" spans="1:12" ht="34.5">
      <c r="A87" s="21"/>
      <c r="B87" s="22"/>
      <c r="C87" s="4"/>
      <c r="D87" s="4"/>
      <c r="E87" s="4"/>
      <c r="F87" s="24" t="s">
        <v>24</v>
      </c>
      <c r="G87" s="4">
        <f>G86*30</f>
        <v>1345.1508000000001</v>
      </c>
      <c r="H87" s="4">
        <f t="shared" ref="H87:I87" si="42">H86*30</f>
        <v>5212.4593500000001</v>
      </c>
      <c r="I87" s="4">
        <f t="shared" si="42"/>
        <v>20903.643432000001</v>
      </c>
    </row>
    <row r="88" spans="1:12" ht="23.25">
      <c r="A88" s="21"/>
      <c r="B88" s="22"/>
      <c r="C88" s="4"/>
      <c r="D88" s="4"/>
      <c r="E88" s="4"/>
      <c r="F88" s="24" t="s">
        <v>25</v>
      </c>
      <c r="G88" s="4">
        <v>214</v>
      </c>
      <c r="H88" s="4">
        <v>331</v>
      </c>
      <c r="I88" s="4">
        <v>139</v>
      </c>
    </row>
    <row r="89" spans="1:12">
      <c r="A89" s="21"/>
      <c r="B89" s="22"/>
      <c r="C89" s="4"/>
      <c r="D89" s="4"/>
      <c r="E89" s="4"/>
      <c r="F89" s="24"/>
      <c r="G89" s="42" t="s">
        <v>26</v>
      </c>
      <c r="H89" s="42"/>
      <c r="I89" s="42"/>
    </row>
    <row r="90" spans="1:12">
      <c r="A90" s="43" t="s">
        <v>14</v>
      </c>
      <c r="B90" s="43"/>
      <c r="C90" s="4"/>
      <c r="D90" s="4"/>
      <c r="E90" s="4"/>
      <c r="F90" s="24">
        <v>20</v>
      </c>
      <c r="G90" s="42">
        <f>F90*4</f>
        <v>80</v>
      </c>
      <c r="H90" s="42"/>
      <c r="I90" s="42"/>
    </row>
    <row r="91" spans="1:12" ht="27" customHeight="1">
      <c r="A91" s="44" t="s">
        <v>15</v>
      </c>
      <c r="B91" s="44"/>
      <c r="C91" s="4"/>
      <c r="D91" s="4"/>
      <c r="E91" s="4"/>
      <c r="F91" s="24">
        <v>6</v>
      </c>
      <c r="G91" s="42">
        <f>F91*5</f>
        <v>30</v>
      </c>
      <c r="H91" s="42"/>
      <c r="I91" s="42"/>
    </row>
    <row r="92" spans="1:12" ht="24.75" customHeight="1">
      <c r="A92" s="44" t="s">
        <v>16</v>
      </c>
      <c r="B92" s="44"/>
      <c r="C92" s="4"/>
      <c r="D92" s="4"/>
      <c r="E92" s="4"/>
      <c r="F92" s="24">
        <v>65</v>
      </c>
      <c r="G92" s="42">
        <f>F92*6</f>
        <v>390</v>
      </c>
      <c r="H92" s="42"/>
      <c r="I92" s="42"/>
    </row>
    <row r="93" spans="1:12">
      <c r="A93" s="5"/>
      <c r="B93" s="5"/>
      <c r="C93" s="5"/>
      <c r="D93" s="5"/>
      <c r="E93" s="5" t="s">
        <v>27</v>
      </c>
      <c r="F93" s="5">
        <f>SUM(F90:F92)</f>
        <v>91</v>
      </c>
      <c r="G93" s="41">
        <f>SUM(G90:I92)</f>
        <v>500</v>
      </c>
      <c r="H93" s="41"/>
      <c r="I93" s="41"/>
    </row>
    <row r="96" spans="1:12">
      <c r="A96" s="12" t="s">
        <v>52</v>
      </c>
    </row>
    <row r="97" spans="1:9" ht="27.75" customHeight="1">
      <c r="A97" s="12" t="s">
        <v>53</v>
      </c>
    </row>
    <row r="98" spans="1:9">
      <c r="A98" s="47" t="s">
        <v>54</v>
      </c>
      <c r="B98" s="47"/>
      <c r="C98" s="47"/>
      <c r="D98" s="47"/>
      <c r="E98" s="47"/>
      <c r="F98" s="47"/>
      <c r="G98" s="47"/>
      <c r="H98" s="47"/>
    </row>
    <row r="99" spans="1:9">
      <c r="A99" s="47" t="s">
        <v>55</v>
      </c>
      <c r="B99" s="47"/>
      <c r="C99" s="47"/>
      <c r="D99" s="47"/>
      <c r="E99" s="47"/>
      <c r="F99" s="47"/>
      <c r="G99" s="47"/>
      <c r="H99" s="47"/>
    </row>
    <row r="100" spans="1:9">
      <c r="A100" s="47" t="s">
        <v>56</v>
      </c>
      <c r="B100" s="47"/>
      <c r="C100" s="47"/>
      <c r="D100" s="47"/>
      <c r="E100" s="47"/>
      <c r="F100" s="47"/>
      <c r="G100" s="47"/>
      <c r="H100" s="47"/>
    </row>
    <row r="101" spans="1:9">
      <c r="A101" s="47" t="s">
        <v>57</v>
      </c>
      <c r="B101" s="47"/>
      <c r="C101" s="47"/>
      <c r="D101" s="47"/>
      <c r="E101" s="47"/>
      <c r="F101" s="47"/>
      <c r="G101" s="47"/>
      <c r="H101" s="47"/>
    </row>
    <row r="102" spans="1:9">
      <c r="A102" s="47" t="s">
        <v>58</v>
      </c>
      <c r="B102" s="47"/>
      <c r="C102" s="47"/>
      <c r="D102" s="47"/>
      <c r="E102" s="47"/>
      <c r="F102" s="47"/>
      <c r="G102" s="47"/>
      <c r="H102" s="47"/>
    </row>
    <row r="103" spans="1:9">
      <c r="A103" s="47" t="s">
        <v>59</v>
      </c>
      <c r="B103" s="47"/>
      <c r="C103" s="47"/>
      <c r="D103" s="47"/>
      <c r="E103" s="47"/>
      <c r="F103" s="47"/>
      <c r="G103" s="47"/>
      <c r="H103" s="47"/>
    </row>
    <row r="104" spans="1:9">
      <c r="A104" s="12" t="s">
        <v>60</v>
      </c>
    </row>
    <row r="105" spans="1:9">
      <c r="A105" s="13" t="s">
        <v>61</v>
      </c>
    </row>
    <row r="106" spans="1:9">
      <c r="A106" s="13" t="s">
        <v>62</v>
      </c>
    </row>
    <row r="107" spans="1:9">
      <c r="A107" s="13" t="s">
        <v>63</v>
      </c>
    </row>
    <row r="110" spans="1:9">
      <c r="A110" s="5" t="s">
        <v>79</v>
      </c>
      <c r="B110" s="5"/>
      <c r="C110" s="5"/>
      <c r="D110" s="5"/>
      <c r="E110" s="5"/>
      <c r="F110" s="5"/>
      <c r="G110" s="5"/>
      <c r="H110" s="5"/>
      <c r="I110" s="5"/>
    </row>
    <row r="111" spans="1:9">
      <c r="A111" s="43" t="s">
        <v>0</v>
      </c>
      <c r="B111" s="43" t="s">
        <v>1</v>
      </c>
      <c r="C111" s="45" t="s">
        <v>17</v>
      </c>
      <c r="D111" s="45"/>
      <c r="E111" s="45"/>
      <c r="F111" s="43" t="s">
        <v>2</v>
      </c>
      <c r="G111" s="45" t="s">
        <v>3</v>
      </c>
      <c r="H111" s="45"/>
      <c r="I111" s="45"/>
    </row>
    <row r="112" spans="1:9">
      <c r="A112" s="43"/>
      <c r="B112" s="43"/>
      <c r="C112" s="4">
        <v>2</v>
      </c>
      <c r="D112" s="4">
        <v>2.5</v>
      </c>
      <c r="E112" s="4">
        <v>3</v>
      </c>
      <c r="F112" s="43"/>
      <c r="G112" s="4">
        <f>C112</f>
        <v>2</v>
      </c>
      <c r="H112" s="4">
        <f>D112</f>
        <v>2.5</v>
      </c>
      <c r="I112" s="4">
        <f>E112</f>
        <v>3</v>
      </c>
    </row>
    <row r="113" spans="1:9">
      <c r="A113" s="24" t="s">
        <v>4</v>
      </c>
      <c r="B113" s="24">
        <v>0.34861999999999999</v>
      </c>
      <c r="C113" s="25">
        <f>C112*B113</f>
        <v>0.69723999999999997</v>
      </c>
      <c r="D113" s="25">
        <f>D112*B113</f>
        <v>0.87154999999999994</v>
      </c>
      <c r="E113" s="25">
        <f>E112*B113</f>
        <v>1.04586</v>
      </c>
      <c r="F113" s="24">
        <v>30</v>
      </c>
      <c r="G113" s="4">
        <f>C113*F113</f>
        <v>20.917199999999998</v>
      </c>
      <c r="H113" s="4">
        <f>D113*F113</f>
        <v>26.1465</v>
      </c>
      <c r="I113" s="4">
        <f>E113*F113</f>
        <v>31.375800000000002</v>
      </c>
    </row>
    <row r="114" spans="1:9">
      <c r="A114" s="24" t="s">
        <v>5</v>
      </c>
      <c r="B114" s="24">
        <v>0.40355000000000002</v>
      </c>
      <c r="C114" s="25">
        <f>C112*B114</f>
        <v>0.80710000000000004</v>
      </c>
      <c r="D114" s="25">
        <f>D112*B114</f>
        <v>1.008875</v>
      </c>
      <c r="E114" s="25">
        <f>E112*B114</f>
        <v>1.21065</v>
      </c>
      <c r="F114" s="24">
        <v>55</v>
      </c>
      <c r="G114" s="4">
        <f>C114*F114</f>
        <v>44.390500000000003</v>
      </c>
      <c r="H114" s="4">
        <f>D114*F114</f>
        <v>55.488124999999997</v>
      </c>
      <c r="I114" s="4">
        <f>E114*F114</f>
        <v>66.585750000000004</v>
      </c>
    </row>
    <row r="115" spans="1:9">
      <c r="A115" s="24" t="s">
        <v>6</v>
      </c>
      <c r="B115" s="24">
        <v>0.41241</v>
      </c>
      <c r="C115" s="25">
        <f>C112*B115</f>
        <v>0.82482</v>
      </c>
      <c r="D115" s="25">
        <f>D112*B115</f>
        <v>1.0310250000000001</v>
      </c>
      <c r="E115" s="25">
        <f>E112*B115</f>
        <v>1.2372300000000001</v>
      </c>
      <c r="F115" s="24">
        <v>80</v>
      </c>
      <c r="G115" s="4">
        <f>C115*F115</f>
        <v>65.985600000000005</v>
      </c>
      <c r="H115" s="4">
        <f>D115*F115</f>
        <v>82.481999999999999</v>
      </c>
      <c r="I115" s="4">
        <f>E115*F115</f>
        <v>98.978400000000008</v>
      </c>
    </row>
    <row r="116" spans="1:9">
      <c r="A116" s="44" t="s">
        <v>18</v>
      </c>
      <c r="B116" s="46"/>
      <c r="C116" s="4">
        <f>3.1415*(C112*C112)</f>
        <v>12.566000000000001</v>
      </c>
      <c r="D116" s="4">
        <f>3.1415*(D112*D112)</f>
        <v>19.634375000000002</v>
      </c>
      <c r="E116" s="4">
        <f>3.1415*(E112*E112)</f>
        <v>28.273500000000002</v>
      </c>
      <c r="F116" s="24">
        <f>SUM(F113:F115)</f>
        <v>165</v>
      </c>
      <c r="G116" s="26">
        <f>SUM(G113:G115)</f>
        <v>131.29329999999999</v>
      </c>
      <c r="H116" s="26">
        <f>SUM(H113:H115)</f>
        <v>164.116625</v>
      </c>
      <c r="I116" s="26">
        <f>SUM(I113:I115)</f>
        <v>196.93995000000001</v>
      </c>
    </row>
    <row r="117" spans="1:9" ht="26.25">
      <c r="A117" s="21"/>
      <c r="B117" s="22"/>
      <c r="C117" s="4"/>
      <c r="D117" s="4"/>
      <c r="E117" s="24" t="s">
        <v>13</v>
      </c>
      <c r="F117" s="27" t="s">
        <v>22</v>
      </c>
      <c r="G117" s="4">
        <v>10</v>
      </c>
      <c r="H117" s="4">
        <v>20</v>
      </c>
      <c r="I117" s="4">
        <v>25</v>
      </c>
    </row>
    <row r="118" spans="1:9">
      <c r="A118" s="21"/>
      <c r="B118" s="22"/>
      <c r="C118" s="4"/>
      <c r="D118" s="4"/>
      <c r="E118" s="4"/>
      <c r="F118" s="24" t="s">
        <v>23</v>
      </c>
      <c r="G118" s="28">
        <f>0.3*G116</f>
        <v>39.387989999999995</v>
      </c>
      <c r="H118" s="28">
        <f>0.93*H116</f>
        <v>152.62846125000002</v>
      </c>
      <c r="I118" s="28">
        <f>1.554*I116</f>
        <v>306.04468230000003</v>
      </c>
    </row>
    <row r="119" spans="1:9" ht="34.5">
      <c r="A119" s="44"/>
      <c r="B119" s="46"/>
      <c r="C119" s="4"/>
      <c r="D119" s="4"/>
      <c r="E119" s="4"/>
      <c r="F119" s="24" t="s">
        <v>24</v>
      </c>
      <c r="G119" s="4">
        <f>G118*30</f>
        <v>1181.6396999999999</v>
      </c>
      <c r="H119" s="4">
        <f t="shared" ref="H119:I119" si="43">H118*30</f>
        <v>4578.8538375000007</v>
      </c>
      <c r="I119" s="4">
        <f t="shared" si="43"/>
        <v>9181.3404690000007</v>
      </c>
    </row>
    <row r="120" spans="1:9" ht="23.25">
      <c r="A120" s="21"/>
      <c r="B120" s="22"/>
      <c r="C120" s="4"/>
      <c r="D120" s="4"/>
      <c r="E120" s="4"/>
      <c r="F120" s="24" t="s">
        <v>25</v>
      </c>
      <c r="G120" s="4">
        <v>214</v>
      </c>
      <c r="H120" s="4">
        <v>331</v>
      </c>
      <c r="I120" s="4">
        <v>139</v>
      </c>
    </row>
    <row r="121" spans="1:9">
      <c r="A121" s="21"/>
      <c r="B121" s="22"/>
      <c r="C121" s="4"/>
      <c r="D121" s="4"/>
      <c r="E121" s="4"/>
      <c r="F121" s="24"/>
      <c r="G121" s="42" t="s">
        <v>26</v>
      </c>
      <c r="H121" s="42"/>
      <c r="I121" s="42"/>
    </row>
    <row r="122" spans="1:9">
      <c r="A122" s="21"/>
      <c r="B122" s="22"/>
      <c r="C122" s="4"/>
      <c r="D122" s="4"/>
      <c r="E122" s="4"/>
      <c r="F122" s="24"/>
      <c r="G122" s="29"/>
      <c r="H122" s="29"/>
      <c r="I122" s="29"/>
    </row>
    <row r="123" spans="1:9">
      <c r="A123" s="43" t="s">
        <v>14</v>
      </c>
      <c r="B123" s="43"/>
      <c r="C123" s="4"/>
      <c r="D123" s="4"/>
      <c r="E123" s="4"/>
      <c r="F123" s="24">
        <v>15</v>
      </c>
      <c r="G123" s="42">
        <f>F123*4</f>
        <v>60</v>
      </c>
      <c r="H123" s="42"/>
      <c r="I123" s="42"/>
    </row>
    <row r="124" spans="1:9" ht="29.25" customHeight="1">
      <c r="A124" s="44" t="s">
        <v>15</v>
      </c>
      <c r="B124" s="44"/>
      <c r="C124" s="4"/>
      <c r="D124" s="4"/>
      <c r="E124" s="4"/>
      <c r="F124" s="24">
        <v>6</v>
      </c>
      <c r="G124" s="42">
        <f>F124*5</f>
        <v>30</v>
      </c>
      <c r="H124" s="42"/>
      <c r="I124" s="42"/>
    </row>
    <row r="125" spans="1:9" ht="30.75" customHeight="1">
      <c r="A125" s="44" t="s">
        <v>16</v>
      </c>
      <c r="B125" s="44"/>
      <c r="C125" s="4"/>
      <c r="D125" s="4"/>
      <c r="E125" s="4"/>
      <c r="F125" s="24">
        <v>40</v>
      </c>
      <c r="G125" s="42">
        <f>F125*6</f>
        <v>240</v>
      </c>
      <c r="H125" s="42"/>
      <c r="I125" s="42"/>
    </row>
    <row r="126" spans="1:9">
      <c r="A126" s="5"/>
      <c r="B126" s="5"/>
      <c r="C126" s="5"/>
      <c r="D126" s="5"/>
      <c r="E126" s="5" t="s">
        <v>27</v>
      </c>
      <c r="F126" s="5">
        <f>SUM(F123:F125)</f>
        <v>61</v>
      </c>
      <c r="G126" s="41">
        <f>SUM(G123:I125)</f>
        <v>330</v>
      </c>
      <c r="H126" s="41"/>
      <c r="I126" s="41"/>
    </row>
    <row r="130" spans="1:9">
      <c r="B130" t="s">
        <v>81</v>
      </c>
    </row>
    <row r="131" spans="1:9">
      <c r="A131" s="5" t="s">
        <v>80</v>
      </c>
      <c r="B131" s="5"/>
      <c r="C131" s="5"/>
      <c r="D131" s="5"/>
      <c r="E131" s="5"/>
      <c r="F131" s="5"/>
      <c r="G131" s="5"/>
      <c r="H131" s="5"/>
      <c r="I131" s="5"/>
    </row>
    <row r="132" spans="1:9">
      <c r="A132" s="43" t="s">
        <v>0</v>
      </c>
      <c r="B132" s="43" t="s">
        <v>1</v>
      </c>
      <c r="C132" s="45" t="s">
        <v>17</v>
      </c>
      <c r="D132" s="45"/>
      <c r="E132" s="45"/>
      <c r="F132" s="43" t="s">
        <v>2</v>
      </c>
      <c r="G132" s="45" t="s">
        <v>3</v>
      </c>
      <c r="H132" s="45"/>
      <c r="I132" s="45"/>
    </row>
    <row r="133" spans="1:9">
      <c r="A133" s="43"/>
      <c r="B133" s="43"/>
      <c r="C133" s="38">
        <v>4</v>
      </c>
      <c r="D133" s="38">
        <v>2</v>
      </c>
      <c r="E133" s="38">
        <v>6</v>
      </c>
      <c r="F133" s="43"/>
      <c r="G133" s="38">
        <f>C133</f>
        <v>4</v>
      </c>
      <c r="H133" s="38">
        <f>D133</f>
        <v>2</v>
      </c>
      <c r="I133" s="38">
        <f>E133</f>
        <v>6</v>
      </c>
    </row>
    <row r="134" spans="1:9">
      <c r="A134" s="1" t="s">
        <v>4</v>
      </c>
      <c r="B134" s="1">
        <v>0.19814743000000001</v>
      </c>
      <c r="C134" s="25">
        <f>C133*B134</f>
        <v>0.79258972000000005</v>
      </c>
      <c r="D134" s="25">
        <f>D133*B134</f>
        <v>0.39629486000000003</v>
      </c>
      <c r="E134" s="25">
        <f>E133*B134</f>
        <v>1.1888845800000001</v>
      </c>
      <c r="F134" s="1">
        <v>30</v>
      </c>
      <c r="G134" s="38">
        <f>C134*F134</f>
        <v>23.777691600000001</v>
      </c>
      <c r="H134" s="38">
        <f>D134*F134</f>
        <v>11.8888458</v>
      </c>
      <c r="I134" s="38">
        <f>E134*F134</f>
        <v>35.666537400000003</v>
      </c>
    </row>
    <row r="135" spans="1:9">
      <c r="A135" s="1" t="s">
        <v>5</v>
      </c>
      <c r="B135" s="1">
        <v>0.23179025</v>
      </c>
      <c r="C135" s="25">
        <f>C133*B135</f>
        <v>0.92716100000000001</v>
      </c>
      <c r="D135" s="25">
        <f>D133*B135</f>
        <v>0.46358050000000001</v>
      </c>
      <c r="E135" s="25">
        <f>E133*B135</f>
        <v>1.3907415000000001</v>
      </c>
      <c r="F135" s="1">
        <v>30</v>
      </c>
      <c r="G135" s="38">
        <f t="shared" ref="G135:G142" si="44">C135*F135</f>
        <v>27.814830000000001</v>
      </c>
      <c r="H135" s="38">
        <f t="shared" ref="H135:H142" si="45">D135*F135</f>
        <v>13.907415</v>
      </c>
      <c r="I135" s="38">
        <f t="shared" ref="I135:I142" si="46">E135*F135</f>
        <v>41.722245000000001</v>
      </c>
    </row>
    <row r="136" spans="1:9">
      <c r="A136" s="1" t="s">
        <v>6</v>
      </c>
      <c r="B136" s="1">
        <v>0.22568578</v>
      </c>
      <c r="C136" s="25">
        <f>C133*B136</f>
        <v>0.90274312000000001</v>
      </c>
      <c r="D136" s="25">
        <f>D133*B136</f>
        <v>0.45137156</v>
      </c>
      <c r="E136" s="25">
        <f>E133*B136</f>
        <v>1.3541146799999999</v>
      </c>
      <c r="F136" s="1">
        <v>60</v>
      </c>
      <c r="G136" s="38">
        <f t="shared" si="44"/>
        <v>54.1645872</v>
      </c>
      <c r="H136" s="38">
        <f t="shared" si="45"/>
        <v>27.0822936</v>
      </c>
      <c r="I136" s="38">
        <f t="shared" si="46"/>
        <v>81.2468808</v>
      </c>
    </row>
    <row r="137" spans="1:9">
      <c r="A137" s="1" t="s">
        <v>7</v>
      </c>
      <c r="B137" s="1">
        <v>0.24724291000000001</v>
      </c>
      <c r="C137" s="25">
        <f>C133*B137</f>
        <v>0.98897164000000004</v>
      </c>
      <c r="D137" s="25">
        <f>D133*B137</f>
        <v>0.49448582000000002</v>
      </c>
      <c r="E137" s="25">
        <f>E133*B137</f>
        <v>1.4834574600000001</v>
      </c>
      <c r="F137" s="1">
        <v>60</v>
      </c>
      <c r="G137" s="38">
        <f t="shared" si="44"/>
        <v>59.338298399999999</v>
      </c>
      <c r="H137" s="38">
        <f t="shared" si="45"/>
        <v>29.6691492</v>
      </c>
      <c r="I137" s="38">
        <f t="shared" si="46"/>
        <v>89.007447600000006</v>
      </c>
    </row>
    <row r="138" spans="1:9">
      <c r="A138" s="1" t="s">
        <v>8</v>
      </c>
      <c r="B138" s="1">
        <v>0.25516701000000003</v>
      </c>
      <c r="C138" s="25">
        <f>C133*B138</f>
        <v>1.0206680400000001</v>
      </c>
      <c r="D138" s="25">
        <f>D133*B138</f>
        <v>0.51033402000000005</v>
      </c>
      <c r="E138" s="25">
        <f>E133*B138</f>
        <v>1.5310020600000001</v>
      </c>
      <c r="F138" s="1">
        <v>70</v>
      </c>
      <c r="G138" s="38">
        <f t="shared" si="44"/>
        <v>71.446762800000002</v>
      </c>
      <c r="H138" s="38">
        <f t="shared" si="45"/>
        <v>35.723381400000001</v>
      </c>
      <c r="I138" s="38">
        <f t="shared" si="46"/>
        <v>107.17014420000001</v>
      </c>
    </row>
    <row r="139" spans="1:9">
      <c r="A139" s="1" t="s">
        <v>9</v>
      </c>
      <c r="B139" s="1">
        <v>0.24508578</v>
      </c>
      <c r="C139" s="25">
        <f>C133*B139</f>
        <v>0.98034312000000001</v>
      </c>
      <c r="D139" s="25">
        <f>D133*B139</f>
        <v>0.49017156000000001</v>
      </c>
      <c r="E139" s="25">
        <f>E133*B139</f>
        <v>1.47051468</v>
      </c>
      <c r="F139" s="1">
        <v>90</v>
      </c>
      <c r="G139" s="38">
        <f t="shared" si="44"/>
        <v>88.230880799999994</v>
      </c>
      <c r="H139" s="38">
        <f t="shared" si="45"/>
        <v>44.115440399999997</v>
      </c>
      <c r="I139" s="38">
        <f t="shared" si="46"/>
        <v>132.34632120000001</v>
      </c>
    </row>
    <row r="140" spans="1:9">
      <c r="A140" s="1" t="s">
        <v>10</v>
      </c>
      <c r="B140" s="1">
        <v>0.2615981</v>
      </c>
      <c r="C140" s="25">
        <f>C133*B140</f>
        <v>1.0463924</v>
      </c>
      <c r="D140" s="25">
        <f>D133*B140</f>
        <v>0.5231962</v>
      </c>
      <c r="E140" s="25">
        <f>E133*B140</f>
        <v>1.5695885999999999</v>
      </c>
      <c r="F140" s="1">
        <v>40</v>
      </c>
      <c r="G140" s="38">
        <f t="shared" si="44"/>
        <v>41.855696000000002</v>
      </c>
      <c r="H140" s="38">
        <f t="shared" si="45"/>
        <v>20.927848000000001</v>
      </c>
      <c r="I140" s="38">
        <f t="shared" si="46"/>
        <v>62.783543999999992</v>
      </c>
    </row>
    <row r="141" spans="1:9">
      <c r="A141" s="1" t="s">
        <v>11</v>
      </c>
      <c r="B141" s="1">
        <v>0.23159759999999999</v>
      </c>
      <c r="C141" s="25">
        <f>C133*B141</f>
        <v>0.92639039999999995</v>
      </c>
      <c r="D141" s="25">
        <f>D133*B141</f>
        <v>0.46319519999999997</v>
      </c>
      <c r="E141" s="25">
        <f>E133*B141</f>
        <v>1.3895856</v>
      </c>
      <c r="F141" s="1">
        <v>30</v>
      </c>
      <c r="G141" s="38">
        <f t="shared" si="44"/>
        <v>27.791711999999997</v>
      </c>
      <c r="H141" s="38">
        <f t="shared" si="45"/>
        <v>13.895855999999998</v>
      </c>
      <c r="I141" s="38">
        <f t="shared" si="46"/>
        <v>41.687567999999999</v>
      </c>
    </row>
    <row r="142" spans="1:9">
      <c r="A142" s="1" t="s">
        <v>12</v>
      </c>
      <c r="B142" s="1">
        <v>0.24534642000000001</v>
      </c>
      <c r="C142" s="25">
        <f>C133*B142</f>
        <v>0.98138568000000004</v>
      </c>
      <c r="D142" s="25">
        <f>D133*B142</f>
        <v>0.49069284000000002</v>
      </c>
      <c r="E142" s="25">
        <f>E133*B142</f>
        <v>1.4720785200000002</v>
      </c>
      <c r="F142" s="1">
        <v>20</v>
      </c>
      <c r="G142" s="38">
        <f t="shared" si="44"/>
        <v>19.6277136</v>
      </c>
      <c r="H142" s="38">
        <f t="shared" si="45"/>
        <v>9.8138567999999999</v>
      </c>
      <c r="I142" s="38">
        <f t="shared" si="46"/>
        <v>29.441570400000003</v>
      </c>
    </row>
    <row r="143" spans="1:9">
      <c r="A143" s="37"/>
      <c r="B143" s="37"/>
      <c r="C143" s="25"/>
      <c r="D143" s="25"/>
      <c r="E143" s="25"/>
      <c r="F143" s="37"/>
      <c r="G143" s="38"/>
      <c r="H143" s="38"/>
      <c r="I143" s="38"/>
    </row>
    <row r="144" spans="1:9">
      <c r="A144" s="37"/>
      <c r="B144" s="37"/>
      <c r="C144" s="25"/>
      <c r="D144" s="25"/>
      <c r="E144" s="25"/>
      <c r="F144" s="37"/>
      <c r="G144" s="38"/>
      <c r="H144" s="38"/>
      <c r="I144" s="38"/>
    </row>
    <row r="145" spans="1:9">
      <c r="A145" s="37"/>
      <c r="B145" s="37"/>
      <c r="C145" s="25"/>
      <c r="D145" s="25"/>
      <c r="E145" s="25"/>
      <c r="F145" s="37"/>
      <c r="G145" s="38"/>
      <c r="H145" s="38"/>
      <c r="I145" s="38"/>
    </row>
    <row r="146" spans="1:9">
      <c r="A146" s="37"/>
      <c r="B146" s="37"/>
      <c r="C146" s="25"/>
      <c r="D146" s="25"/>
      <c r="E146" s="25"/>
      <c r="F146" s="37"/>
      <c r="G146" s="38"/>
      <c r="H146" s="38"/>
      <c r="I146" s="38"/>
    </row>
    <row r="147" spans="1:9">
      <c r="A147" s="44" t="s">
        <v>18</v>
      </c>
      <c r="B147" s="46"/>
      <c r="C147" s="38">
        <f>3.1415*(C133*C133)</f>
        <v>50.264000000000003</v>
      </c>
      <c r="D147" s="38">
        <f>3.1415*(D133*D133)</f>
        <v>12.566000000000001</v>
      </c>
      <c r="E147" s="38">
        <f>3.1415*(E133*E133)</f>
        <v>113.09400000000001</v>
      </c>
      <c r="F147" s="37">
        <f>SUM(F134:F142)</f>
        <v>430</v>
      </c>
      <c r="G147" s="26">
        <f>SUM(G134:G136)</f>
        <v>105.7571088</v>
      </c>
      <c r="H147" s="26">
        <f>SUM(H134:H136)</f>
        <v>52.878554399999999</v>
      </c>
      <c r="I147" s="26">
        <f>SUM(I134:I136)</f>
        <v>158.63566320000001</v>
      </c>
    </row>
    <row r="148" spans="1:9" ht="26.25">
      <c r="A148" s="35"/>
      <c r="B148" s="36"/>
      <c r="C148" s="38"/>
      <c r="D148" s="38"/>
      <c r="E148" s="37" t="s">
        <v>13</v>
      </c>
      <c r="F148" s="27" t="s">
        <v>22</v>
      </c>
      <c r="G148" s="38">
        <v>10</v>
      </c>
      <c r="H148" s="38">
        <v>20</v>
      </c>
      <c r="I148" s="38">
        <v>25</v>
      </c>
    </row>
    <row r="149" spans="1:9">
      <c r="A149" s="35"/>
      <c r="B149" s="36"/>
      <c r="C149" s="38"/>
      <c r="D149" s="38"/>
      <c r="E149" s="38"/>
      <c r="F149" s="37" t="s">
        <v>23</v>
      </c>
      <c r="G149" s="28">
        <f>0.3*G147</f>
        <v>31.727132639999997</v>
      </c>
      <c r="H149" s="28">
        <f>0.93*H147</f>
        <v>49.177055592000002</v>
      </c>
      <c r="I149" s="28">
        <f>1.554*I147</f>
        <v>246.51982061280003</v>
      </c>
    </row>
    <row r="150" spans="1:9" ht="34.5">
      <c r="A150" s="44"/>
      <c r="B150" s="46"/>
      <c r="C150" s="38"/>
      <c r="D150" s="38"/>
      <c r="E150" s="38"/>
      <c r="F150" s="37" t="s">
        <v>24</v>
      </c>
      <c r="G150" s="38">
        <f>G149*30</f>
        <v>951.81397919999995</v>
      </c>
      <c r="H150" s="38">
        <f t="shared" ref="H150:I150" si="47">H149*30</f>
        <v>1475.3116677600001</v>
      </c>
      <c r="I150" s="38">
        <f t="shared" si="47"/>
        <v>7395.5946183840006</v>
      </c>
    </row>
    <row r="151" spans="1:9" ht="23.25">
      <c r="A151" s="35"/>
      <c r="B151" s="36"/>
      <c r="C151" s="38"/>
      <c r="D151" s="38"/>
      <c r="E151" s="38"/>
      <c r="F151" s="37" t="s">
        <v>25</v>
      </c>
      <c r="G151" s="38">
        <v>214</v>
      </c>
      <c r="H151" s="38">
        <v>331</v>
      </c>
      <c r="I151" s="38">
        <v>139</v>
      </c>
    </row>
    <row r="152" spans="1:9">
      <c r="A152" s="35"/>
      <c r="B152" s="36"/>
      <c r="C152" s="38"/>
      <c r="D152" s="38"/>
      <c r="E152" s="38"/>
      <c r="F152" s="37"/>
      <c r="G152" s="42" t="s">
        <v>26</v>
      </c>
      <c r="H152" s="42"/>
      <c r="I152" s="42"/>
    </row>
    <row r="153" spans="1:9">
      <c r="A153" s="35"/>
      <c r="B153" s="36"/>
      <c r="C153" s="38"/>
      <c r="D153" s="38"/>
      <c r="E153" s="38"/>
      <c r="F153" s="37"/>
      <c r="G153" s="34"/>
      <c r="H153" s="34"/>
      <c r="I153" s="34"/>
    </row>
    <row r="154" spans="1:9">
      <c r="A154" s="43" t="s">
        <v>14</v>
      </c>
      <c r="B154" s="43"/>
      <c r="C154" s="38"/>
      <c r="D154" s="38"/>
      <c r="E154" s="38"/>
      <c r="F154" s="1">
        <v>25</v>
      </c>
      <c r="G154" s="42">
        <f>F154*4</f>
        <v>100</v>
      </c>
      <c r="H154" s="42"/>
      <c r="I154" s="42"/>
    </row>
    <row r="155" spans="1:9">
      <c r="A155" s="44" t="s">
        <v>15</v>
      </c>
      <c r="B155" s="44"/>
      <c r="C155" s="38"/>
      <c r="D155" s="38"/>
      <c r="E155" s="38"/>
      <c r="F155" s="1">
        <v>6</v>
      </c>
      <c r="G155" s="42">
        <f>F155*5</f>
        <v>30</v>
      </c>
      <c r="H155" s="42"/>
      <c r="I155" s="42"/>
    </row>
    <row r="156" spans="1:9">
      <c r="A156" s="44" t="s">
        <v>16</v>
      </c>
      <c r="B156" s="44"/>
      <c r="C156" s="38"/>
      <c r="D156" s="38"/>
      <c r="E156" s="38"/>
      <c r="F156" s="1">
        <v>120</v>
      </c>
      <c r="G156" s="42">
        <f>F156*6</f>
        <v>720</v>
      </c>
      <c r="H156" s="42"/>
      <c r="I156" s="42"/>
    </row>
    <row r="157" spans="1:9">
      <c r="A157" s="5"/>
      <c r="B157" s="5"/>
      <c r="C157" s="5"/>
      <c r="D157" s="5"/>
      <c r="E157" s="5" t="s">
        <v>27</v>
      </c>
      <c r="F157" s="5">
        <f>SUM(F154:F156)</f>
        <v>151</v>
      </c>
      <c r="G157" s="41">
        <f>SUM(G154:I156)</f>
        <v>850</v>
      </c>
      <c r="H157" s="41"/>
      <c r="I157" s="41"/>
    </row>
    <row r="161" spans="1:9">
      <c r="A161" s="5" t="s">
        <v>82</v>
      </c>
      <c r="B161" s="5"/>
      <c r="C161" s="5"/>
      <c r="D161" s="5"/>
      <c r="E161" s="5"/>
      <c r="F161" s="5"/>
      <c r="G161" s="5"/>
      <c r="H161" s="5"/>
      <c r="I161" s="5"/>
    </row>
    <row r="162" spans="1:9">
      <c r="A162" s="43" t="s">
        <v>0</v>
      </c>
      <c r="B162" s="43" t="s">
        <v>1</v>
      </c>
      <c r="C162" s="45" t="s">
        <v>17</v>
      </c>
      <c r="D162" s="45"/>
      <c r="E162" s="45"/>
      <c r="F162" s="43" t="s">
        <v>2</v>
      </c>
      <c r="G162" s="45" t="s">
        <v>3</v>
      </c>
      <c r="H162" s="45"/>
      <c r="I162" s="45"/>
    </row>
    <row r="163" spans="1:9">
      <c r="A163" s="43"/>
      <c r="B163" s="43"/>
      <c r="C163" s="38">
        <v>3</v>
      </c>
      <c r="D163" s="38">
        <v>2.5</v>
      </c>
      <c r="E163" s="38">
        <v>6</v>
      </c>
      <c r="F163" s="43"/>
      <c r="G163" s="38">
        <f>C163</f>
        <v>3</v>
      </c>
      <c r="H163" s="38">
        <f>D163</f>
        <v>2.5</v>
      </c>
      <c r="I163" s="38">
        <f>E163</f>
        <v>6</v>
      </c>
    </row>
    <row r="164" spans="1:9">
      <c r="A164" s="1" t="s">
        <v>4</v>
      </c>
      <c r="B164" s="1">
        <v>0.19814743000000001</v>
      </c>
      <c r="C164" s="25">
        <f>C163*B164</f>
        <v>0.59444229000000004</v>
      </c>
      <c r="D164" s="25">
        <f>D163*B164</f>
        <v>0.49536857500000003</v>
      </c>
      <c r="E164" s="25">
        <f>E163*B164</f>
        <v>1.1888845800000001</v>
      </c>
      <c r="F164" s="1">
        <v>30</v>
      </c>
      <c r="G164" s="38">
        <f>C164*F164</f>
        <v>17.833268700000001</v>
      </c>
      <c r="H164" s="38">
        <f>D164*F164</f>
        <v>14.861057250000002</v>
      </c>
      <c r="I164" s="38">
        <f>E164*F164</f>
        <v>35.666537400000003</v>
      </c>
    </row>
    <row r="165" spans="1:9">
      <c r="A165" s="1" t="s">
        <v>5</v>
      </c>
      <c r="B165" s="1">
        <v>0.23179025</v>
      </c>
      <c r="C165" s="25">
        <f>C163*B165</f>
        <v>0.69537075000000004</v>
      </c>
      <c r="D165" s="25">
        <f>D163*B165</f>
        <v>0.57947562500000005</v>
      </c>
      <c r="E165" s="25">
        <f>E163*B165</f>
        <v>1.3907415000000001</v>
      </c>
      <c r="F165" s="1">
        <v>30</v>
      </c>
      <c r="G165" s="38">
        <f t="shared" ref="G165:G172" si="48">C165*F165</f>
        <v>20.8611225</v>
      </c>
      <c r="H165" s="38">
        <f t="shared" ref="H165:H172" si="49">D165*F165</f>
        <v>17.38426875</v>
      </c>
      <c r="I165" s="38">
        <f t="shared" ref="I165:I172" si="50">E165*F165</f>
        <v>41.722245000000001</v>
      </c>
    </row>
    <row r="166" spans="1:9">
      <c r="A166" s="1" t="s">
        <v>6</v>
      </c>
      <c r="B166" s="1">
        <v>0.22568578</v>
      </c>
      <c r="C166" s="25">
        <f>C163*B166</f>
        <v>0.67705733999999995</v>
      </c>
      <c r="D166" s="25">
        <f>D163*B166</f>
        <v>0.56421445000000003</v>
      </c>
      <c r="E166" s="25">
        <f>E163*B166</f>
        <v>1.3541146799999999</v>
      </c>
      <c r="F166" s="1">
        <v>60</v>
      </c>
      <c r="G166" s="38">
        <f t="shared" si="48"/>
        <v>40.6234404</v>
      </c>
      <c r="H166" s="38">
        <f t="shared" si="49"/>
        <v>33.852867000000003</v>
      </c>
      <c r="I166" s="38">
        <f t="shared" si="50"/>
        <v>81.2468808</v>
      </c>
    </row>
    <row r="167" spans="1:9">
      <c r="A167" s="1" t="s">
        <v>7</v>
      </c>
      <c r="B167" s="1">
        <v>0.24724291000000001</v>
      </c>
      <c r="C167" s="25">
        <f>C163*B167</f>
        <v>0.74172873000000006</v>
      </c>
      <c r="D167" s="25">
        <f>D163*B167</f>
        <v>0.61810727500000007</v>
      </c>
      <c r="E167" s="25">
        <f>E163*B167</f>
        <v>1.4834574600000001</v>
      </c>
      <c r="F167" s="1">
        <v>50</v>
      </c>
      <c r="G167" s="38">
        <f t="shared" si="48"/>
        <v>37.086436500000005</v>
      </c>
      <c r="H167" s="38">
        <f t="shared" si="49"/>
        <v>30.905363750000003</v>
      </c>
      <c r="I167" s="38">
        <f t="shared" si="50"/>
        <v>74.17287300000001</v>
      </c>
    </row>
    <row r="168" spans="1:9">
      <c r="A168" s="1" t="s">
        <v>8</v>
      </c>
      <c r="B168" s="1">
        <v>0.25516701000000003</v>
      </c>
      <c r="C168" s="25">
        <f>C163*B168</f>
        <v>0.76550103000000003</v>
      </c>
      <c r="D168" s="25">
        <f>D163*B168</f>
        <v>0.6379175250000001</v>
      </c>
      <c r="E168" s="25">
        <f>E163*B168</f>
        <v>1.5310020600000001</v>
      </c>
      <c r="F168" s="1">
        <v>50</v>
      </c>
      <c r="G168" s="38">
        <f t="shared" si="48"/>
        <v>38.275051500000004</v>
      </c>
      <c r="H168" s="38">
        <f t="shared" si="49"/>
        <v>31.895876250000004</v>
      </c>
      <c r="I168" s="38">
        <f t="shared" si="50"/>
        <v>76.550103000000007</v>
      </c>
    </row>
    <row r="169" spans="1:9">
      <c r="A169" s="1" t="s">
        <v>9</v>
      </c>
      <c r="B169" s="1">
        <v>0.24508578</v>
      </c>
      <c r="C169" s="25">
        <f>C163*B169</f>
        <v>0.73525733999999998</v>
      </c>
      <c r="D169" s="25">
        <f>D163*B169</f>
        <v>0.61271445000000002</v>
      </c>
      <c r="E169" s="25">
        <f>E163*B169</f>
        <v>1.47051468</v>
      </c>
      <c r="F169" s="1">
        <v>60</v>
      </c>
      <c r="G169" s="38">
        <f t="shared" si="48"/>
        <v>44.115440399999997</v>
      </c>
      <c r="H169" s="38">
        <f t="shared" si="49"/>
        <v>36.762867</v>
      </c>
      <c r="I169" s="38">
        <f t="shared" si="50"/>
        <v>88.230880799999994</v>
      </c>
    </row>
    <row r="170" spans="1:9">
      <c r="A170" s="1" t="s">
        <v>10</v>
      </c>
      <c r="B170" s="1">
        <v>0.2615981</v>
      </c>
      <c r="C170" s="25">
        <f>C163*B170</f>
        <v>0.78479429999999994</v>
      </c>
      <c r="D170" s="25">
        <f>D163*B170</f>
        <v>0.65399525000000003</v>
      </c>
      <c r="E170" s="25">
        <f>E163*B170</f>
        <v>1.5695885999999999</v>
      </c>
      <c r="F170" s="1">
        <v>35</v>
      </c>
      <c r="G170" s="38">
        <f t="shared" si="48"/>
        <v>27.467800499999999</v>
      </c>
      <c r="H170" s="38">
        <f t="shared" si="49"/>
        <v>22.889833750000001</v>
      </c>
      <c r="I170" s="38">
        <f t="shared" si="50"/>
        <v>54.935600999999998</v>
      </c>
    </row>
    <row r="171" spans="1:9">
      <c r="A171" s="1" t="s">
        <v>11</v>
      </c>
      <c r="B171" s="1">
        <v>0.23159759999999999</v>
      </c>
      <c r="C171" s="25">
        <f>C163*B171</f>
        <v>0.69479279999999999</v>
      </c>
      <c r="D171" s="25">
        <f>D163*B171</f>
        <v>0.57899400000000001</v>
      </c>
      <c r="E171" s="25">
        <f>E163*B171</f>
        <v>1.3895856</v>
      </c>
      <c r="F171" s="1">
        <v>30</v>
      </c>
      <c r="G171" s="38">
        <f t="shared" si="48"/>
        <v>20.843783999999999</v>
      </c>
      <c r="H171" s="38">
        <f t="shared" si="49"/>
        <v>17.369820000000001</v>
      </c>
      <c r="I171" s="38">
        <f t="shared" si="50"/>
        <v>41.687567999999999</v>
      </c>
    </row>
    <row r="172" spans="1:9">
      <c r="A172" s="1" t="s">
        <v>12</v>
      </c>
      <c r="B172" s="1">
        <v>0.24534642000000001</v>
      </c>
      <c r="C172" s="25">
        <f>C163*B172</f>
        <v>0.73603926000000008</v>
      </c>
      <c r="D172" s="25">
        <f>D163*B172</f>
        <v>0.61336605</v>
      </c>
      <c r="E172" s="25">
        <f>E163*B172</f>
        <v>1.4720785200000002</v>
      </c>
      <c r="F172" s="1">
        <v>10</v>
      </c>
      <c r="G172" s="38">
        <f t="shared" si="48"/>
        <v>7.3603926000000008</v>
      </c>
      <c r="H172" s="38">
        <f t="shared" si="49"/>
        <v>6.1336604999999995</v>
      </c>
      <c r="I172" s="38">
        <f t="shared" si="50"/>
        <v>14.720785200000002</v>
      </c>
    </row>
    <row r="173" spans="1:9">
      <c r="A173" s="37"/>
      <c r="B173" s="37"/>
      <c r="C173" s="25"/>
      <c r="D173" s="25"/>
      <c r="E173" s="25"/>
      <c r="F173" s="37"/>
      <c r="G173" s="38"/>
      <c r="H173" s="38"/>
      <c r="I173" s="38"/>
    </row>
    <row r="174" spans="1:9">
      <c r="A174" s="37"/>
      <c r="B174" s="37"/>
      <c r="C174" s="25"/>
      <c r="D174" s="25"/>
      <c r="E174" s="25"/>
      <c r="F174" s="37"/>
      <c r="G174" s="38"/>
      <c r="H174" s="38"/>
      <c r="I174" s="38"/>
    </row>
    <row r="175" spans="1:9">
      <c r="A175" s="37"/>
      <c r="B175" s="37"/>
      <c r="C175" s="25"/>
      <c r="D175" s="25"/>
      <c r="E175" s="25"/>
      <c r="F175" s="37"/>
      <c r="G175" s="38"/>
      <c r="H175" s="38"/>
      <c r="I175" s="38"/>
    </row>
    <row r="176" spans="1:9">
      <c r="A176" s="37"/>
      <c r="B176" s="37"/>
      <c r="C176" s="25"/>
      <c r="D176" s="25"/>
      <c r="E176" s="25"/>
      <c r="F176" s="37"/>
      <c r="G176" s="38"/>
      <c r="H176" s="38"/>
      <c r="I176" s="38"/>
    </row>
    <row r="177" spans="1:11">
      <c r="A177" s="44" t="s">
        <v>18</v>
      </c>
      <c r="B177" s="46"/>
      <c r="C177" s="38">
        <f>3.1415*(C163*C163)</f>
        <v>28.273500000000002</v>
      </c>
      <c r="D177" s="38">
        <f>3.1415*(D163*D163)</f>
        <v>19.634375000000002</v>
      </c>
      <c r="E177" s="38">
        <f>3.1415*(E163*E163)</f>
        <v>113.09400000000001</v>
      </c>
      <c r="F177" s="37">
        <f>SUM(F164:F172)</f>
        <v>355</v>
      </c>
      <c r="G177" s="26">
        <f>SUM(G164:G166)</f>
        <v>79.317831600000005</v>
      </c>
      <c r="H177" s="26">
        <f>SUM(H164:H166)</f>
        <v>66.098193000000009</v>
      </c>
      <c r="I177" s="26">
        <f>SUM(I164:I166)</f>
        <v>158.63566320000001</v>
      </c>
    </row>
    <row r="178" spans="1:11" ht="26.25">
      <c r="A178" s="35"/>
      <c r="B178" s="36"/>
      <c r="C178" s="38"/>
      <c r="D178" s="38"/>
      <c r="E178" s="37" t="s">
        <v>13</v>
      </c>
      <c r="F178" s="27" t="s">
        <v>22</v>
      </c>
      <c r="G178" s="38">
        <v>10</v>
      </c>
      <c r="H178" s="38">
        <v>20</v>
      </c>
      <c r="I178" s="38">
        <v>25</v>
      </c>
    </row>
    <row r="179" spans="1:11">
      <c r="A179" s="35"/>
      <c r="B179" s="36"/>
      <c r="C179" s="38"/>
      <c r="D179" s="38"/>
      <c r="E179" s="38"/>
      <c r="F179" s="37" t="s">
        <v>23</v>
      </c>
      <c r="G179" s="28">
        <f>0.3*G177</f>
        <v>23.795349480000002</v>
      </c>
      <c r="H179" s="28">
        <f>0.93*H177</f>
        <v>61.471319490000013</v>
      </c>
      <c r="I179" s="28">
        <f>1.554*I177</f>
        <v>246.51982061280003</v>
      </c>
    </row>
    <row r="180" spans="1:11" ht="34.5">
      <c r="A180" s="44"/>
      <c r="B180" s="46"/>
      <c r="C180" s="38"/>
      <c r="D180" s="38"/>
      <c r="E180" s="38"/>
      <c r="F180" s="37" t="s">
        <v>24</v>
      </c>
      <c r="G180" s="38">
        <f>G179*30</f>
        <v>713.86048440000002</v>
      </c>
      <c r="H180" s="38">
        <f t="shared" ref="H180:I180" si="51">H179*30</f>
        <v>1844.1395847000003</v>
      </c>
      <c r="I180" s="38">
        <f t="shared" si="51"/>
        <v>7395.5946183840006</v>
      </c>
    </row>
    <row r="181" spans="1:11" ht="23.25">
      <c r="A181" s="35"/>
      <c r="B181" s="36"/>
      <c r="C181" s="38"/>
      <c r="D181" s="38"/>
      <c r="E181" s="38"/>
      <c r="F181" s="37" t="s">
        <v>25</v>
      </c>
      <c r="G181" s="38">
        <v>214</v>
      </c>
      <c r="H181" s="38">
        <v>331</v>
      </c>
      <c r="I181" s="38">
        <v>139</v>
      </c>
    </row>
    <row r="182" spans="1:11">
      <c r="A182" s="35"/>
      <c r="B182" s="36"/>
      <c r="C182" s="38"/>
      <c r="D182" s="38"/>
      <c r="E182" s="38"/>
      <c r="F182" s="37"/>
      <c r="G182" s="42" t="s">
        <v>26</v>
      </c>
      <c r="H182" s="42"/>
      <c r="I182" s="42"/>
    </row>
    <row r="183" spans="1:11">
      <c r="A183" s="35"/>
      <c r="B183" s="36"/>
      <c r="C183" s="38"/>
      <c r="D183" s="38"/>
      <c r="E183" s="38"/>
      <c r="F183" s="37"/>
      <c r="G183" s="34"/>
      <c r="H183" s="34"/>
      <c r="I183" s="34"/>
    </row>
    <row r="184" spans="1:11">
      <c r="A184" s="43" t="s">
        <v>14</v>
      </c>
      <c r="B184" s="43"/>
      <c r="C184" s="38"/>
      <c r="D184" s="38"/>
      <c r="E184" s="38"/>
      <c r="F184" s="1">
        <v>25</v>
      </c>
      <c r="G184" s="42">
        <f>F184*4</f>
        <v>100</v>
      </c>
      <c r="H184" s="42"/>
      <c r="I184" s="42"/>
    </row>
    <row r="185" spans="1:11" ht="24.75" customHeight="1">
      <c r="A185" s="52" t="s">
        <v>15</v>
      </c>
      <c r="B185" s="53"/>
      <c r="C185" s="38"/>
      <c r="D185" s="38"/>
      <c r="E185" s="38"/>
      <c r="F185" s="1">
        <v>6</v>
      </c>
      <c r="G185" s="42">
        <f>F185*5</f>
        <v>30</v>
      </c>
      <c r="H185" s="42"/>
      <c r="I185" s="42"/>
    </row>
    <row r="186" spans="1:11" ht="27" customHeight="1">
      <c r="A186" s="43" t="s">
        <v>16</v>
      </c>
      <c r="B186" s="43"/>
      <c r="C186" s="38"/>
      <c r="D186" s="38"/>
      <c r="E186" s="38"/>
      <c r="F186" s="1">
        <v>95</v>
      </c>
      <c r="G186" s="42">
        <f>F186*6</f>
        <v>570</v>
      </c>
      <c r="H186" s="42"/>
      <c r="I186" s="42"/>
    </row>
    <row r="187" spans="1:11">
      <c r="A187" s="5"/>
      <c r="B187" s="5"/>
      <c r="C187" s="5"/>
      <c r="D187" s="5"/>
      <c r="E187" s="5" t="s">
        <v>27</v>
      </c>
      <c r="F187" s="5">
        <f>SUM(F184:F186)</f>
        <v>126</v>
      </c>
      <c r="G187" s="41">
        <f>SUM(G184:I186)</f>
        <v>700</v>
      </c>
      <c r="H187" s="41"/>
      <c r="I187" s="41"/>
      <c r="J187">
        <f>F187*0.07</f>
        <v>8.82</v>
      </c>
      <c r="K187">
        <f>J187*12</f>
        <v>105.84</v>
      </c>
    </row>
  </sheetData>
  <mergeCells count="124">
    <mergeCell ref="A185:B185"/>
    <mergeCell ref="G185:I185"/>
    <mergeCell ref="A186:B186"/>
    <mergeCell ref="G186:I186"/>
    <mergeCell ref="G187:I187"/>
    <mergeCell ref="A177:B177"/>
    <mergeCell ref="A180:B180"/>
    <mergeCell ref="G182:I182"/>
    <mergeCell ref="A184:B184"/>
    <mergeCell ref="G184:I184"/>
    <mergeCell ref="A156:B156"/>
    <mergeCell ref="G156:I156"/>
    <mergeCell ref="G157:I157"/>
    <mergeCell ref="A162:A163"/>
    <mergeCell ref="B162:B163"/>
    <mergeCell ref="C162:E162"/>
    <mergeCell ref="F162:F163"/>
    <mergeCell ref="G162:I162"/>
    <mergeCell ref="G152:I152"/>
    <mergeCell ref="A154:B154"/>
    <mergeCell ref="G154:I154"/>
    <mergeCell ref="A155:B155"/>
    <mergeCell ref="G155:I155"/>
    <mergeCell ref="C132:E132"/>
    <mergeCell ref="F132:F133"/>
    <mergeCell ref="G132:I132"/>
    <mergeCell ref="A147:B147"/>
    <mergeCell ref="A150:B150"/>
    <mergeCell ref="A132:A133"/>
    <mergeCell ref="B132:B133"/>
    <mergeCell ref="A1:I1"/>
    <mergeCell ref="J2:K2"/>
    <mergeCell ref="G37:I37"/>
    <mergeCell ref="J8:K8"/>
    <mergeCell ref="J9:K9"/>
    <mergeCell ref="J21:K21"/>
    <mergeCell ref="J3:K3"/>
    <mergeCell ref="J4:K4"/>
    <mergeCell ref="J5:K5"/>
    <mergeCell ref="J6:K6"/>
    <mergeCell ref="J7:K7"/>
    <mergeCell ref="J24:K24"/>
    <mergeCell ref="J25:K25"/>
    <mergeCell ref="J27:K27"/>
    <mergeCell ref="A2:A3"/>
    <mergeCell ref="B2:B3"/>
    <mergeCell ref="C2:E2"/>
    <mergeCell ref="F2:F3"/>
    <mergeCell ref="G2:I2"/>
    <mergeCell ref="G93:I93"/>
    <mergeCell ref="J22:K23"/>
    <mergeCell ref="G89:I89"/>
    <mergeCell ref="J46:K46"/>
    <mergeCell ref="J47:K47"/>
    <mergeCell ref="J48:K48"/>
    <mergeCell ref="J49:K49"/>
    <mergeCell ref="J50:K50"/>
    <mergeCell ref="J51:K51"/>
    <mergeCell ref="J52:K52"/>
    <mergeCell ref="J53:K54"/>
    <mergeCell ref="J57:K57"/>
    <mergeCell ref="J58:K58"/>
    <mergeCell ref="L22:L23"/>
    <mergeCell ref="M22:M23"/>
    <mergeCell ref="N22:N23"/>
    <mergeCell ref="A90:B90"/>
    <mergeCell ref="G90:I90"/>
    <mergeCell ref="C75:E75"/>
    <mergeCell ref="F76:F77"/>
    <mergeCell ref="G76:I76"/>
    <mergeCell ref="A83:B83"/>
    <mergeCell ref="A86:B86"/>
    <mergeCell ref="A75:A76"/>
    <mergeCell ref="B75:B76"/>
    <mergeCell ref="L75:M75"/>
    <mergeCell ref="J26:K26"/>
    <mergeCell ref="J44:K44"/>
    <mergeCell ref="J45:K45"/>
    <mergeCell ref="A43:I43"/>
    <mergeCell ref="A44:A45"/>
    <mergeCell ref="B44:B45"/>
    <mergeCell ref="C44:E44"/>
    <mergeCell ref="F44:F45"/>
    <mergeCell ref="G44:I44"/>
    <mergeCell ref="A40:B40"/>
    <mergeCell ref="A27:B27"/>
    <mergeCell ref="A25:B25"/>
    <mergeCell ref="A38:B38"/>
    <mergeCell ref="A39:B39"/>
    <mergeCell ref="A92:B92"/>
    <mergeCell ref="G92:I92"/>
    <mergeCell ref="A91:B91"/>
    <mergeCell ref="G91:I91"/>
    <mergeCell ref="A58:B58"/>
    <mergeCell ref="A67:B67"/>
    <mergeCell ref="A68:B68"/>
    <mergeCell ref="A69:B69"/>
    <mergeCell ref="A103:H103"/>
    <mergeCell ref="A98:H98"/>
    <mergeCell ref="A99:H99"/>
    <mergeCell ref="A100:H100"/>
    <mergeCell ref="A101:H101"/>
    <mergeCell ref="A102:H102"/>
    <mergeCell ref="L53:L54"/>
    <mergeCell ref="M53:M54"/>
    <mergeCell ref="N53:N54"/>
    <mergeCell ref="J55:K55"/>
    <mergeCell ref="A56:B56"/>
    <mergeCell ref="J56:K56"/>
    <mergeCell ref="G126:I126"/>
    <mergeCell ref="G121:I121"/>
    <mergeCell ref="A123:B123"/>
    <mergeCell ref="G123:I123"/>
    <mergeCell ref="A124:B124"/>
    <mergeCell ref="G124:I124"/>
    <mergeCell ref="C111:E111"/>
    <mergeCell ref="F111:F112"/>
    <mergeCell ref="G111:I111"/>
    <mergeCell ref="A116:B116"/>
    <mergeCell ref="A119:B119"/>
    <mergeCell ref="A111:A112"/>
    <mergeCell ref="B111:B112"/>
    <mergeCell ref="A125:B125"/>
    <mergeCell ref="G125:I125"/>
  </mergeCells>
  <hyperlinks>
    <hyperlink ref="A105" r:id="rId1" display="http://acidome.ru/lab/calc/"/>
    <hyperlink ref="A106" r:id="rId2" display="http://www.desertdomes.com/domecalc.html"/>
    <hyperlink ref="A107" r:id="rId3" display="http://www.geo-dome.co.uk/article.asp?uname=calculation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N7" sqref="N7"/>
    </sheetView>
  </sheetViews>
  <sheetFormatPr defaultRowHeight="15"/>
  <sheetData>
    <row r="1" spans="1:13" ht="19.5" customHeight="1">
      <c r="C1" s="11"/>
      <c r="D1" s="56" t="s">
        <v>51</v>
      </c>
      <c r="E1" s="56"/>
      <c r="F1" s="56"/>
      <c r="G1" s="56"/>
      <c r="H1" s="56"/>
      <c r="I1" s="56"/>
      <c r="J1" s="56"/>
      <c r="K1" s="11"/>
      <c r="L1" s="11"/>
      <c r="M1" s="11"/>
    </row>
    <row r="2" spans="1:13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54" t="s">
        <v>0</v>
      </c>
      <c r="B3" s="54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>
      <c r="A4" s="55"/>
      <c r="B4" s="5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>
      <c r="A5" s="1" t="s">
        <v>4</v>
      </c>
      <c r="B5" s="1">
        <v>0.1625672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 customHeight="1">
      <c r="A6" s="1" t="s">
        <v>5</v>
      </c>
      <c r="B6" s="1">
        <v>0.1904769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 customHeight="1">
      <c r="A7" s="1" t="s">
        <v>6</v>
      </c>
      <c r="B7" s="1">
        <v>0.1819083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 customHeight="1">
      <c r="A8" s="1" t="s">
        <v>7</v>
      </c>
      <c r="B8" s="1">
        <v>0.20281969999999999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" t="s">
        <v>8</v>
      </c>
      <c r="B9" s="1">
        <v>0.18738340000000001</v>
      </c>
    </row>
    <row r="10" spans="1:13">
      <c r="A10" s="1" t="s">
        <v>9</v>
      </c>
      <c r="B10" s="1">
        <v>0.19801260000000001</v>
      </c>
    </row>
    <row r="11" spans="1:13">
      <c r="A11" s="1" t="s">
        <v>10</v>
      </c>
      <c r="B11" s="1">
        <v>0.2059077</v>
      </c>
    </row>
    <row r="12" spans="1:13">
      <c r="A12" s="1" t="s">
        <v>11</v>
      </c>
      <c r="B12" s="1">
        <v>0.21535370000000001</v>
      </c>
    </row>
    <row r="13" spans="1:13">
      <c r="A13" s="1" t="s">
        <v>12</v>
      </c>
      <c r="B13" s="1">
        <v>0.21662819999999999</v>
      </c>
    </row>
  </sheetData>
  <mergeCells count="3">
    <mergeCell ref="A3:A4"/>
    <mergeCell ref="B3:B4"/>
    <mergeCell ref="D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5"/>
  <cols>
    <col min="1" max="1" width="18" customWidth="1"/>
  </cols>
  <sheetData>
    <row r="1" spans="1:2">
      <c r="A1" t="s">
        <v>77</v>
      </c>
      <c r="B1">
        <v>0.39500000000000002</v>
      </c>
    </row>
    <row r="2" spans="1:2">
      <c r="A2" t="s">
        <v>76</v>
      </c>
      <c r="B2">
        <v>4.88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сведения о материалах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2011-10-19T23:36:11Z</dcterms:created>
  <dcterms:modified xsi:type="dcterms:W3CDTF">2012-01-31T04:46:41Z</dcterms:modified>
</cp:coreProperties>
</file>