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8620" windowHeight="12960" activeTab="2"/>
  </bookViews>
  <sheets>
    <sheet name="Купол 2V" sheetId="4" r:id="rId1"/>
    <sheet name="Купол 3V" sheetId="1" r:id="rId2"/>
    <sheet name="Купол 4V" sheetId="2" r:id="rId3"/>
  </sheets>
  <definedNames>
    <definedName name="Диаметр_трубы">'Купол 2V'!$K$2:$K$3</definedName>
    <definedName name="Толщина_балки">'Купол 2V'!$M$2:$M$3</definedName>
    <definedName name="Толщина_балок">'Купол 3V'!$L$2:$L$3</definedName>
    <definedName name="Частота3">'Купол 3V'!$N$3:$N$4</definedName>
    <definedName name="Частота4">'Купол 4V'!$N$2:$N$4</definedName>
  </definedNames>
  <calcPr calcId="125725"/>
</workbook>
</file>

<file path=xl/calcChain.xml><?xml version="1.0" encoding="utf-8"?>
<calcChain xmlns="http://schemas.openxmlformats.org/spreadsheetml/2006/main">
  <c r="G10" i="1"/>
  <c r="G9"/>
  <c r="G8"/>
  <c r="G7"/>
  <c r="C16"/>
  <c r="C15"/>
  <c r="C14"/>
  <c r="R8"/>
  <c r="R9"/>
  <c r="C15" i="4"/>
  <c r="C14"/>
  <c r="T8" i="2"/>
  <c r="T9"/>
  <c r="T7"/>
  <c r="C20"/>
  <c r="C19"/>
  <c r="C18"/>
  <c r="C17"/>
  <c r="C16"/>
  <c r="C21" s="1"/>
  <c r="G12"/>
  <c r="G11"/>
  <c r="G10"/>
  <c r="G9"/>
  <c r="G8"/>
  <c r="G7"/>
  <c r="B13" i="4"/>
  <c r="B12"/>
  <c r="E13"/>
  <c r="E12"/>
  <c r="B16" i="1"/>
  <c r="B15"/>
  <c r="B14"/>
  <c r="E16"/>
  <c r="E15"/>
  <c r="E14"/>
  <c r="B3" i="2"/>
  <c r="B3" i="4"/>
  <c r="B3" i="1"/>
  <c r="F9" s="1"/>
  <c r="G9" i="4"/>
  <c r="E11" i="2"/>
  <c r="E12"/>
  <c r="C8"/>
  <c r="C9"/>
  <c r="E17" s="1"/>
  <c r="B17" s="1"/>
  <c r="C10"/>
  <c r="C11"/>
  <c r="E20" s="1"/>
  <c r="B20" s="1"/>
  <c r="C12"/>
  <c r="E10"/>
  <c r="E9"/>
  <c r="E8"/>
  <c r="E7"/>
  <c r="C7"/>
  <c r="E16" s="1"/>
  <c r="B16" s="1"/>
  <c r="E8" i="4"/>
  <c r="C8"/>
  <c r="E7"/>
  <c r="C7"/>
  <c r="E8" i="1"/>
  <c r="E9"/>
  <c r="E10"/>
  <c r="E7"/>
  <c r="C8"/>
  <c r="C9"/>
  <c r="C10"/>
  <c r="C7"/>
  <c r="G11" l="1"/>
  <c r="C18"/>
  <c r="C17"/>
  <c r="G13" i="2"/>
  <c r="E19"/>
  <c r="B19" s="1"/>
  <c r="E18"/>
  <c r="B18" s="1"/>
  <c r="F10"/>
  <c r="F11"/>
  <c r="F9"/>
  <c r="F7"/>
  <c r="F8"/>
  <c r="F12"/>
  <c r="F7" i="4"/>
  <c r="F8"/>
  <c r="F7" i="1"/>
  <c r="F10"/>
  <c r="F8"/>
  <c r="C22" i="2" l="1"/>
</calcChain>
</file>

<file path=xl/sharedStrings.xml><?xml version="1.0" encoding="utf-8"?>
<sst xmlns="http://schemas.openxmlformats.org/spreadsheetml/2006/main" count="119" uniqueCount="38">
  <si>
    <t>A</t>
  </si>
  <si>
    <t>B</t>
  </si>
  <si>
    <t>C</t>
  </si>
  <si>
    <t>D</t>
  </si>
  <si>
    <t>Угол запила</t>
  </si>
  <si>
    <t>Коэффициент длины</t>
  </si>
  <si>
    <t>Размер запила, мм</t>
  </si>
  <si>
    <t>Ширина балки, мм</t>
  </si>
  <si>
    <t>Диаметр купола, м</t>
  </si>
  <si>
    <t>Длина балки, мм</t>
  </si>
  <si>
    <t>Диаметр трубы, мм</t>
  </si>
  <si>
    <t>Типоразмер балки</t>
  </si>
  <si>
    <t>Длина ребра, мм</t>
  </si>
  <si>
    <t>Толщина балки, мм</t>
  </si>
  <si>
    <t>Количество балок</t>
  </si>
  <si>
    <t>E</t>
  </si>
  <si>
    <t>F</t>
  </si>
  <si>
    <t>ИТОГО</t>
  </si>
  <si>
    <t>AAB</t>
  </si>
  <si>
    <t>CCB</t>
  </si>
  <si>
    <t>CDF</t>
  </si>
  <si>
    <t>DDE</t>
  </si>
  <si>
    <t>EEE</t>
  </si>
  <si>
    <t>Треугольники</t>
  </si>
  <si>
    <t>Количество</t>
  </si>
  <si>
    <t>Площадь обшивки, м2</t>
  </si>
  <si>
    <t>CCD</t>
  </si>
  <si>
    <t>BBB</t>
  </si>
  <si>
    <t>коэффициент p</t>
  </si>
  <si>
    <t>Частота купола</t>
  </si>
  <si>
    <t>9/25</t>
  </si>
  <si>
    <t>1/2</t>
  </si>
  <si>
    <t>16/25</t>
  </si>
  <si>
    <t>Частота</t>
  </si>
  <si>
    <t>треугольников</t>
  </si>
  <si>
    <t>площадь поверхности</t>
  </si>
  <si>
    <t>3/8</t>
  </si>
  <si>
    <t>5/8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</si>
</sst>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00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/>
    <xf numFmtId="0" fontId="0" fillId="0" borderId="6" xfId="0" applyBorder="1"/>
    <xf numFmtId="0" fontId="0" fillId="3" borderId="7" xfId="0" applyFill="1" applyBorder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0" fillId="4" borderId="5" xfId="0" applyFill="1" applyBorder="1"/>
    <xf numFmtId="0" fontId="0" fillId="5" borderId="7" xfId="0" applyFill="1" applyBorder="1"/>
    <xf numFmtId="164" fontId="0" fillId="0" borderId="8" xfId="0" applyNumberFormat="1" applyBorder="1"/>
    <xf numFmtId="0" fontId="0" fillId="5" borderId="5" xfId="0" applyFill="1" applyBorder="1"/>
    <xf numFmtId="0" fontId="0" fillId="6" borderId="5" xfId="0" applyFill="1" applyBorder="1"/>
    <xf numFmtId="0" fontId="0" fillId="7" borderId="7" xfId="0" applyFill="1" applyBorder="1"/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10</xdr:row>
      <xdr:rowOff>38100</xdr:rowOff>
    </xdr:from>
    <xdr:to>
      <xdr:col>8</xdr:col>
      <xdr:colOff>344366</xdr:colOff>
      <xdr:row>11</xdr:row>
      <xdr:rowOff>152400</xdr:rowOff>
    </xdr:to>
    <xdr:pic>
      <xdr:nvPicPr>
        <xdr:cNvPr id="2" name="Рисунок 1" descr="z-math__formula_for_tri-square-abc-f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86625" y="1781175"/>
          <a:ext cx="2344616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990600</xdr:colOff>
      <xdr:row>13</xdr:row>
      <xdr:rowOff>19050</xdr:rowOff>
    </xdr:from>
    <xdr:to>
      <xdr:col>8</xdr:col>
      <xdr:colOff>430091</xdr:colOff>
      <xdr:row>14</xdr:row>
      <xdr:rowOff>133350</xdr:rowOff>
    </xdr:to>
    <xdr:pic>
      <xdr:nvPicPr>
        <xdr:cNvPr id="2" name="Рисунок 1" descr="z-math__formula_for_tri-square-abc-f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0" y="2333625"/>
          <a:ext cx="2344616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15</xdr:row>
      <xdr:rowOff>28575</xdr:rowOff>
    </xdr:from>
    <xdr:to>
      <xdr:col>8</xdr:col>
      <xdr:colOff>382466</xdr:colOff>
      <xdr:row>16</xdr:row>
      <xdr:rowOff>142875</xdr:rowOff>
    </xdr:to>
    <xdr:pic>
      <xdr:nvPicPr>
        <xdr:cNvPr id="2" name="Рисунок 1" descr="z-math__formula_for_tri-square-abc-f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15200" y="2724150"/>
          <a:ext cx="2344616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workbookViewId="0">
      <selection activeCell="G3" sqref="G3"/>
    </sheetView>
  </sheetViews>
  <sheetFormatPr defaultRowHeight="15"/>
  <cols>
    <col min="1" max="1" width="19.28515625" bestFit="1" customWidth="1"/>
    <col min="2" max="2" width="21.7109375" bestFit="1" customWidth="1"/>
    <col min="3" max="3" width="16.85546875" bestFit="1" customWidth="1"/>
    <col min="4" max="4" width="19.140625" bestFit="1" customWidth="1"/>
    <col min="5" max="5" width="18.5703125" bestFit="1" customWidth="1"/>
    <col min="6" max="6" width="16.7109375" bestFit="1" customWidth="1"/>
    <col min="7" max="7" width="17.7109375" bestFit="1" customWidth="1"/>
    <col min="8" max="8" width="9.140625" customWidth="1"/>
  </cols>
  <sheetData>
    <row r="2" spans="1:12">
      <c r="A2" t="s">
        <v>8</v>
      </c>
      <c r="B2" s="70">
        <v>10</v>
      </c>
      <c r="D2" t="s">
        <v>7</v>
      </c>
      <c r="E2">
        <v>200</v>
      </c>
      <c r="K2">
        <v>133</v>
      </c>
      <c r="L2">
        <v>50</v>
      </c>
    </row>
    <row r="3" spans="1:12">
      <c r="A3" t="s">
        <v>10</v>
      </c>
      <c r="B3" s="70">
        <f>INDEX(K2:L3,MATCH(E3,Толщина_балок,0),1)</f>
        <v>133</v>
      </c>
      <c r="D3" t="s">
        <v>13</v>
      </c>
      <c r="E3">
        <v>50</v>
      </c>
      <c r="K3">
        <v>114</v>
      </c>
      <c r="L3">
        <v>40</v>
      </c>
    </row>
    <row r="4" spans="1:12">
      <c r="A4" t="s">
        <v>29</v>
      </c>
      <c r="B4" s="69" t="s">
        <v>31</v>
      </c>
    </row>
    <row r="5" spans="1:12" ht="15.75" thickBot="1"/>
    <row r="6" spans="1:12">
      <c r="A6" s="10" t="s">
        <v>11</v>
      </c>
      <c r="B6" s="11" t="s">
        <v>5</v>
      </c>
      <c r="C6" s="11" t="s">
        <v>12</v>
      </c>
      <c r="D6" s="11" t="s">
        <v>4</v>
      </c>
      <c r="E6" s="11" t="s">
        <v>6</v>
      </c>
      <c r="F6" s="11" t="s">
        <v>9</v>
      </c>
      <c r="G6" s="12" t="s">
        <v>14</v>
      </c>
    </row>
    <row r="7" spans="1:12">
      <c r="A7" s="13" t="s">
        <v>0</v>
      </c>
      <c r="B7" s="6">
        <v>2.7326649999999999</v>
      </c>
      <c r="C7" s="7">
        <f>$B$2*B7*100</f>
        <v>2732.665</v>
      </c>
      <c r="D7" s="8">
        <v>74.141262789999999</v>
      </c>
      <c r="E7" s="7">
        <f>$E$2/TAN(D7*PI()/180)</f>
        <v>56.815808784188548</v>
      </c>
      <c r="F7" s="7">
        <f>C7-$B$3</f>
        <v>2599.665</v>
      </c>
      <c r="G7" s="14">
        <v>30</v>
      </c>
    </row>
    <row r="8" spans="1:12" ht="15.75" thickBot="1">
      <c r="A8" s="15" t="s">
        <v>1</v>
      </c>
      <c r="B8" s="16">
        <v>3.0901700000000001</v>
      </c>
      <c r="C8" s="17">
        <f t="shared" ref="C8" si="0">$B$2*B8*100</f>
        <v>3090.17</v>
      </c>
      <c r="D8" s="16">
        <v>72</v>
      </c>
      <c r="E8" s="17">
        <f t="shared" ref="E8" si="1">$E$2/TAN(D8*PI()/180)</f>
        <v>64.983939246581286</v>
      </c>
      <c r="F8" s="17">
        <f t="shared" ref="F8" si="2">C8-$B$3</f>
        <v>2957.17</v>
      </c>
      <c r="G8" s="18">
        <v>35</v>
      </c>
    </row>
    <row r="9" spans="1:12">
      <c r="A9" s="1"/>
      <c r="B9" s="1"/>
      <c r="C9" s="2"/>
      <c r="D9" s="1"/>
      <c r="E9" s="2"/>
      <c r="F9" s="4" t="s">
        <v>17</v>
      </c>
      <c r="G9" s="4">
        <f>SUM(G3:G8)</f>
        <v>65</v>
      </c>
    </row>
    <row r="10" spans="1:12" ht="15.75" thickBot="1">
      <c r="A10" s="1"/>
      <c r="B10" s="1"/>
      <c r="C10" s="2"/>
      <c r="D10" s="1"/>
      <c r="E10" s="2"/>
      <c r="F10" s="2"/>
      <c r="G10" s="1"/>
    </row>
    <row r="11" spans="1:12">
      <c r="A11" s="10" t="s">
        <v>23</v>
      </c>
      <c r="B11" s="11" t="s">
        <v>25</v>
      </c>
      <c r="C11" s="12" t="s">
        <v>24</v>
      </c>
      <c r="E11" s="3" t="s">
        <v>28</v>
      </c>
    </row>
    <row r="12" spans="1:12">
      <c r="A12" s="19" t="s">
        <v>18</v>
      </c>
      <c r="B12" s="7">
        <f>SQRT(E12*(E12-C7)*(E12-C7)*(E12-C8))/1000000</f>
        <v>3.4825031171872585</v>
      </c>
      <c r="C12" s="14">
        <v>30</v>
      </c>
      <c r="E12">
        <f>(C7+C7+C8)/2</f>
        <v>4277.75</v>
      </c>
    </row>
    <row r="13" spans="1:12" ht="15.75" thickBot="1">
      <c r="A13" s="20" t="s">
        <v>27</v>
      </c>
      <c r="B13" s="17">
        <f>SQRT(E13*(E13-C8)*(E13-C8)*(E13-C8))/1000000</f>
        <v>4.1349035145957744</v>
      </c>
      <c r="C13" s="18">
        <v>10</v>
      </c>
      <c r="E13">
        <f>(C8+C8+C8)/2</f>
        <v>4635.2550000000001</v>
      </c>
    </row>
    <row r="14" spans="1:12">
      <c r="A14" s="4" t="s">
        <v>17</v>
      </c>
      <c r="B14" s="56" t="s">
        <v>34</v>
      </c>
      <c r="C14" s="4">
        <f>SUM(C12:C13)</f>
        <v>40</v>
      </c>
    </row>
    <row r="15" spans="1:12">
      <c r="B15" s="56" t="s">
        <v>35</v>
      </c>
      <c r="C15" s="4">
        <f>SUM(C12*B12,C13*B13)</f>
        <v>145.82412866157551</v>
      </c>
    </row>
  </sheetData>
  <dataValidations count="1">
    <dataValidation type="list" allowBlank="1" showInputMessage="1" showErrorMessage="1" sqref="E3">
      <formula1>Толщина_балок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E2" sqref="E2"/>
    </sheetView>
  </sheetViews>
  <sheetFormatPr defaultRowHeight="15"/>
  <cols>
    <col min="1" max="1" width="19.28515625" bestFit="1" customWidth="1"/>
    <col min="2" max="2" width="21.7109375" customWidth="1"/>
    <col min="3" max="3" width="16.85546875" bestFit="1" customWidth="1"/>
    <col min="4" max="4" width="19.140625" bestFit="1" customWidth="1"/>
    <col min="5" max="5" width="18.5703125" bestFit="1" customWidth="1"/>
    <col min="6" max="6" width="16.7109375" bestFit="1" customWidth="1"/>
    <col min="7" max="7" width="17.7109375" bestFit="1" customWidth="1"/>
    <col min="8" max="8" width="9.140625" customWidth="1"/>
  </cols>
  <sheetData>
    <row r="1" spans="1:20" ht="15" customHeight="1" thickBot="1"/>
    <row r="2" spans="1:20">
      <c r="A2" t="s">
        <v>8</v>
      </c>
      <c r="B2">
        <v>10</v>
      </c>
      <c r="D2" t="s">
        <v>7</v>
      </c>
      <c r="E2">
        <v>200</v>
      </c>
      <c r="K2">
        <v>133</v>
      </c>
      <c r="L2">
        <v>50</v>
      </c>
      <c r="N2" s="10" t="s">
        <v>33</v>
      </c>
      <c r="O2" s="57" t="s">
        <v>0</v>
      </c>
      <c r="P2" s="58" t="s">
        <v>1</v>
      </c>
      <c r="Q2" s="59" t="s">
        <v>2</v>
      </c>
      <c r="R2" s="63" t="s">
        <v>3</v>
      </c>
      <c r="S2" s="35"/>
      <c r="T2" s="35"/>
    </row>
    <row r="3" spans="1:20">
      <c r="A3" t="s">
        <v>10</v>
      </c>
      <c r="B3">
        <f>INDEX(K2:L3,MATCH(E3,Толщина_балок,0),1)</f>
        <v>133</v>
      </c>
      <c r="D3" t="s">
        <v>13</v>
      </c>
      <c r="E3">
        <v>50</v>
      </c>
      <c r="K3">
        <v>114</v>
      </c>
      <c r="L3">
        <v>40</v>
      </c>
      <c r="N3" s="36" t="s">
        <v>36</v>
      </c>
      <c r="O3" s="29">
        <v>30</v>
      </c>
      <c r="P3" s="30">
        <v>30</v>
      </c>
      <c r="Q3" s="31">
        <v>50</v>
      </c>
      <c r="R3" s="64">
        <v>10</v>
      </c>
      <c r="S3" s="35"/>
      <c r="T3" s="35"/>
    </row>
    <row r="4" spans="1:20" ht="15.75" thickBot="1">
      <c r="A4" t="s">
        <v>29</v>
      </c>
      <c r="B4" s="28" t="s">
        <v>36</v>
      </c>
      <c r="N4" s="38" t="s">
        <v>37</v>
      </c>
      <c r="O4" s="39">
        <v>30</v>
      </c>
      <c r="P4" s="40">
        <v>35</v>
      </c>
      <c r="Q4" s="41">
        <v>80</v>
      </c>
      <c r="R4" s="65">
        <v>20</v>
      </c>
      <c r="S4" s="35"/>
      <c r="T4" s="35"/>
    </row>
    <row r="5" spans="1:20" ht="15.75" thickBot="1"/>
    <row r="6" spans="1:20" ht="15.75" thickBot="1">
      <c r="A6" s="10" t="s">
        <v>11</v>
      </c>
      <c r="B6" s="11" t="s">
        <v>5</v>
      </c>
      <c r="C6" s="11" t="s">
        <v>12</v>
      </c>
      <c r="D6" s="11" t="s">
        <v>4</v>
      </c>
      <c r="E6" s="11" t="s">
        <v>6</v>
      </c>
      <c r="F6" s="11" t="s">
        <v>9</v>
      </c>
      <c r="G6" s="12" t="s">
        <v>14</v>
      </c>
      <c r="R6" s="35"/>
      <c r="S6" s="35"/>
      <c r="T6" s="35"/>
    </row>
    <row r="7" spans="1:20" ht="15.75" thickBot="1">
      <c r="A7" s="13" t="s">
        <v>0</v>
      </c>
      <c r="B7" s="6">
        <v>1.6783274589999999</v>
      </c>
      <c r="C7" s="7">
        <f>$B$2*B7*100</f>
        <v>1678.3274589999999</v>
      </c>
      <c r="D7" s="9">
        <v>80.511292080000004</v>
      </c>
      <c r="E7" s="7">
        <f>$E$2/TAN(D7*PI()/180)</f>
        <v>33.428002546882141</v>
      </c>
      <c r="F7" s="7">
        <f>C7-$B$3</f>
        <v>1545.3274589999999</v>
      </c>
      <c r="G7" s="14">
        <f>IF($B$4=$N$3,INDEX($N$3:$R$4,MATCH($B$4,Частота3,0),2),INDEX($N$3:$R$4,MATCH($B$4,Частота3,0),2))</f>
        <v>30</v>
      </c>
      <c r="N7" s="52" t="s">
        <v>33</v>
      </c>
      <c r="O7" s="53" t="s">
        <v>18</v>
      </c>
      <c r="P7" s="53" t="s">
        <v>19</v>
      </c>
      <c r="Q7" s="67" t="s">
        <v>26</v>
      </c>
      <c r="R7" s="35" t="s">
        <v>17</v>
      </c>
      <c r="S7" s="35"/>
    </row>
    <row r="8" spans="1:20">
      <c r="A8" s="21" t="s">
        <v>1</v>
      </c>
      <c r="B8" s="6">
        <v>1.945997996</v>
      </c>
      <c r="C8" s="7">
        <f t="shared" ref="C8:C10" si="0">$B$2*B8*100</f>
        <v>1945.9979959999998</v>
      </c>
      <c r="D8" s="9">
        <v>78.980382610000007</v>
      </c>
      <c r="E8" s="7">
        <f t="shared" ref="E8:E10" si="1">$E$2/TAN(D8*PI()/180)</f>
        <v>38.947131507243448</v>
      </c>
      <c r="F8" s="7">
        <f t="shared" ref="F8:F10" si="2">C8-$B$3</f>
        <v>1812.9979959999998</v>
      </c>
      <c r="G8" s="14">
        <f>IF($B$4=$N$3,INDEX($N$3:$R$4,MATCH($B$4,Частота3,0),3),INDEX($N$3:$R$4,MATCH($B$4,Частота3,0),3))</f>
        <v>30</v>
      </c>
      <c r="N8" s="45" t="s">
        <v>36</v>
      </c>
      <c r="O8" s="49">
        <v>30</v>
      </c>
      <c r="P8" s="49">
        <v>20</v>
      </c>
      <c r="Q8" s="68">
        <v>40</v>
      </c>
      <c r="R8" s="35">
        <f>SUM(O8:Q8)</f>
        <v>90</v>
      </c>
      <c r="S8" s="35"/>
    </row>
    <row r="9" spans="1:20" ht="15.75" thickBot="1">
      <c r="A9" s="22" t="s">
        <v>2</v>
      </c>
      <c r="B9" s="6">
        <v>2.1455336279999999</v>
      </c>
      <c r="C9" s="7">
        <f t="shared" si="0"/>
        <v>2145.5336279999997</v>
      </c>
      <c r="D9" s="9">
        <v>77.834032089999994</v>
      </c>
      <c r="E9" s="7">
        <f t="shared" si="1"/>
        <v>43.117199003536712</v>
      </c>
      <c r="F9" s="7">
        <f t="shared" si="2"/>
        <v>2012.5336279999997</v>
      </c>
      <c r="G9" s="14">
        <f>IF($B$4=$N$3,INDEX($N$3:$R$4,MATCH($B$4,Частота3,0),4),INDEX($N$3:$R$4,MATCH($B$4,Частота3,0),4))</f>
        <v>50</v>
      </c>
      <c r="N9" s="38" t="s">
        <v>37</v>
      </c>
      <c r="O9" s="47">
        <v>30</v>
      </c>
      <c r="P9" s="47">
        <v>30</v>
      </c>
      <c r="Q9" s="48">
        <v>60</v>
      </c>
      <c r="R9" s="35">
        <f>SUM(O9:Q9)</f>
        <v>120</v>
      </c>
      <c r="S9" s="66"/>
    </row>
    <row r="10" spans="1:20" ht="15.75" thickBot="1">
      <c r="A10" s="23" t="s">
        <v>3</v>
      </c>
      <c r="B10" s="24">
        <v>2.2451398189999998</v>
      </c>
      <c r="C10" s="17">
        <f t="shared" si="0"/>
        <v>2245.139819</v>
      </c>
      <c r="D10" s="16">
        <v>77.259941440000006</v>
      </c>
      <c r="E10" s="17">
        <f t="shared" si="1"/>
        <v>45.218902116662271</v>
      </c>
      <c r="F10" s="17">
        <f t="shared" si="2"/>
        <v>2112.139819</v>
      </c>
      <c r="G10" s="18">
        <f>IF($B$4=$N$3,INDEX($N$3:$R$4,MATCH($B$4,Частота3,0),5),INDEX($N$3:$R$4,MATCH($B$4,Частота3,0),5))</f>
        <v>10</v>
      </c>
    </row>
    <row r="11" spans="1:20">
      <c r="F11" s="4" t="s">
        <v>17</v>
      </c>
      <c r="G11" s="4">
        <f>SUM(G7:G10)</f>
        <v>120</v>
      </c>
    </row>
    <row r="12" spans="1:20" ht="15.75" thickBot="1"/>
    <row r="13" spans="1:20">
      <c r="A13" s="10" t="s">
        <v>23</v>
      </c>
      <c r="B13" s="11" t="s">
        <v>25</v>
      </c>
      <c r="C13" s="12" t="s">
        <v>24</v>
      </c>
      <c r="E13" s="3" t="s">
        <v>28</v>
      </c>
    </row>
    <row r="14" spans="1:20">
      <c r="A14" s="19" t="s">
        <v>18</v>
      </c>
      <c r="B14" s="7">
        <f>SQRT(E14*(E14-C7)*(E14-C7)*(E14-C8))/1000000</f>
        <v>1.3305760442137993</v>
      </c>
      <c r="C14" s="14">
        <f>IF($B$4=$N$8,INDEX($N$8:$Q$9,MATCH($B$4,Частота3,0),2),INDEX($N$8:$Q$9,MATCH($B$4,Частота3,0),2))</f>
        <v>30</v>
      </c>
      <c r="E14">
        <f>(C7+C7+C8)/2</f>
        <v>2651.3264569999997</v>
      </c>
    </row>
    <row r="15" spans="1:20">
      <c r="A15" s="19" t="s">
        <v>19</v>
      </c>
      <c r="B15" s="7">
        <f>SQRT(E15*(E15-C9)*(E15-C9)*(E15-C8))/1000000</f>
        <v>1.8605886961324445</v>
      </c>
      <c r="C15" s="14">
        <f>IF($B$4=$N$8,INDEX($N$8:$Q$9,MATCH($B$4,Частота3,0),3),INDEX($N$8:$Q$9,MATCH($B$4,Частота3,0),3))</f>
        <v>20</v>
      </c>
      <c r="E15">
        <f>(C9+C9+C8)/2</f>
        <v>3118.5326259999997</v>
      </c>
    </row>
    <row r="16" spans="1:20" ht="15.75" thickBot="1">
      <c r="A16" s="20" t="s">
        <v>26</v>
      </c>
      <c r="B16" s="17">
        <f>SQRT(E16*(E16-C9)*(E16-C9)*(E16-C10))/1000000</f>
        <v>2.0525389899973798</v>
      </c>
      <c r="C16" s="18">
        <f>IF($B$4=$N$8,INDEX($N$8:$Q$9,MATCH($B$4,Частота3,0),4),INDEX($N$8:$Q$9,MATCH($B$4,Частота3,0),4))</f>
        <v>40</v>
      </c>
      <c r="E16">
        <f>(C9+C9+C10)/2</f>
        <v>3268.1035374999997</v>
      </c>
    </row>
    <row r="17" spans="1:3">
      <c r="A17" s="4" t="s">
        <v>17</v>
      </c>
      <c r="B17" s="56" t="s">
        <v>34</v>
      </c>
      <c r="C17" s="4">
        <f>SUM(C14:C16)</f>
        <v>90</v>
      </c>
    </row>
    <row r="18" spans="1:3">
      <c r="B18" s="56" t="s">
        <v>35</v>
      </c>
      <c r="C18" s="4">
        <f>SUM(C14*B14,C15*B15,C16*B16)</f>
        <v>159.23061484895806</v>
      </c>
    </row>
  </sheetData>
  <dataValidations count="2">
    <dataValidation type="list" allowBlank="1" showInputMessage="1" showErrorMessage="1" sqref="E3">
      <formula1>Толщина_балок</formula1>
    </dataValidation>
    <dataValidation type="list" allowBlank="1" showInputMessage="1" showErrorMessage="1" sqref="B4">
      <formula1>Частота3</formula1>
    </dataValidation>
  </dataValidations>
  <pageMargins left="0.7" right="0.7" top="0.75" bottom="0.75" header="0.3" footer="0.3"/>
  <pageSetup paperSize="9" orientation="portrait" r:id="rId1"/>
  <ignoredErrors>
    <ignoredError sqref="E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>
      <selection activeCell="B42" sqref="B42"/>
    </sheetView>
  </sheetViews>
  <sheetFormatPr defaultRowHeight="15"/>
  <cols>
    <col min="1" max="1" width="19.28515625" bestFit="1" customWidth="1"/>
    <col min="2" max="2" width="21.7109375" bestFit="1" customWidth="1"/>
    <col min="3" max="3" width="16.85546875" bestFit="1" customWidth="1"/>
    <col min="4" max="4" width="19.140625" bestFit="1" customWidth="1"/>
    <col min="5" max="5" width="18.5703125" bestFit="1" customWidth="1"/>
    <col min="6" max="6" width="16.7109375" bestFit="1" customWidth="1"/>
    <col min="7" max="7" width="17.7109375" bestFit="1" customWidth="1"/>
  </cols>
  <sheetData>
    <row r="1" spans="1:20">
      <c r="N1" s="10" t="s">
        <v>33</v>
      </c>
      <c r="O1" s="57" t="s">
        <v>0</v>
      </c>
      <c r="P1" s="58" t="s">
        <v>1</v>
      </c>
      <c r="Q1" s="59" t="s">
        <v>2</v>
      </c>
      <c r="R1" s="60" t="s">
        <v>3</v>
      </c>
      <c r="S1" s="61" t="s">
        <v>15</v>
      </c>
      <c r="T1" s="62" t="s">
        <v>16</v>
      </c>
    </row>
    <row r="2" spans="1:20">
      <c r="A2" t="s">
        <v>8</v>
      </c>
      <c r="B2" s="28">
        <v>10</v>
      </c>
      <c r="D2" t="s">
        <v>7</v>
      </c>
      <c r="E2" s="28">
        <v>200</v>
      </c>
      <c r="K2">
        <v>133</v>
      </c>
      <c r="L2">
        <v>50</v>
      </c>
      <c r="N2" s="36" t="s">
        <v>30</v>
      </c>
      <c r="O2" s="29">
        <v>30</v>
      </c>
      <c r="P2" s="30">
        <v>30</v>
      </c>
      <c r="Q2" s="31">
        <v>50</v>
      </c>
      <c r="R2" s="32">
        <v>40</v>
      </c>
      <c r="S2" s="33">
        <v>20</v>
      </c>
      <c r="T2" s="37">
        <v>20</v>
      </c>
    </row>
    <row r="3" spans="1:20">
      <c r="A3" t="s">
        <v>10</v>
      </c>
      <c r="B3" s="28">
        <f>INDEX(K2:L3,MATCH(E3,Толщина_балок,0),1)</f>
        <v>133</v>
      </c>
      <c r="D3" t="s">
        <v>13</v>
      </c>
      <c r="E3" s="28">
        <v>50</v>
      </c>
      <c r="K3">
        <v>114</v>
      </c>
      <c r="L3">
        <v>40</v>
      </c>
      <c r="N3" s="36" t="s">
        <v>31</v>
      </c>
      <c r="O3" s="29">
        <v>30</v>
      </c>
      <c r="P3" s="30">
        <v>30</v>
      </c>
      <c r="Q3" s="31">
        <v>60</v>
      </c>
      <c r="R3" s="32">
        <v>70</v>
      </c>
      <c r="S3" s="33">
        <v>30</v>
      </c>
      <c r="T3" s="37">
        <v>30</v>
      </c>
    </row>
    <row r="4" spans="1:20" ht="15.75" thickBot="1">
      <c r="A4" t="s">
        <v>29</v>
      </c>
      <c r="B4" s="28" t="s">
        <v>30</v>
      </c>
      <c r="N4" s="38" t="s">
        <v>32</v>
      </c>
      <c r="O4" s="39">
        <v>30</v>
      </c>
      <c r="P4" s="40">
        <v>35</v>
      </c>
      <c r="Q4" s="41">
        <v>80</v>
      </c>
      <c r="R4" s="42">
        <v>80</v>
      </c>
      <c r="S4" s="43">
        <v>45</v>
      </c>
      <c r="T4" s="44">
        <v>40</v>
      </c>
    </row>
    <row r="5" spans="1:20" ht="15.75" thickBot="1">
      <c r="R5" s="35"/>
      <c r="S5" s="35"/>
      <c r="T5" s="35"/>
    </row>
    <row r="6" spans="1:20" ht="15.75" thickBot="1">
      <c r="A6" s="10" t="s">
        <v>11</v>
      </c>
      <c r="B6" s="11" t="s">
        <v>5</v>
      </c>
      <c r="C6" s="11" t="s">
        <v>12</v>
      </c>
      <c r="D6" s="11" t="s">
        <v>4</v>
      </c>
      <c r="E6" s="11" t="s">
        <v>6</v>
      </c>
      <c r="F6" s="11" t="s">
        <v>9</v>
      </c>
      <c r="G6" s="12" t="s">
        <v>14</v>
      </c>
      <c r="N6" s="52" t="s">
        <v>33</v>
      </c>
      <c r="O6" s="53" t="s">
        <v>18</v>
      </c>
      <c r="P6" s="53" t="s">
        <v>19</v>
      </c>
      <c r="Q6" s="53" t="s">
        <v>20</v>
      </c>
      <c r="R6" s="54" t="s">
        <v>21</v>
      </c>
      <c r="S6" s="55" t="s">
        <v>22</v>
      </c>
      <c r="T6" s="35" t="s">
        <v>17</v>
      </c>
    </row>
    <row r="7" spans="1:20">
      <c r="A7" s="13" t="s">
        <v>0</v>
      </c>
      <c r="B7" s="6">
        <v>1.11094</v>
      </c>
      <c r="C7" s="7">
        <f>$B$2*B7*100</f>
        <v>1110.94</v>
      </c>
      <c r="D7" s="9">
        <v>83.621617749999999</v>
      </c>
      <c r="E7" s="7">
        <f>$E$2/TAN(D7*PI()/180)</f>
        <v>22.357188048369821</v>
      </c>
      <c r="F7" s="7">
        <f>C7-$B$3</f>
        <v>977.94</v>
      </c>
      <c r="G7" s="14">
        <f>IF($B$4=$N$2,INDEX($O$2:$T$4,MATCH($B$4,Частота4,0),1),IF($B$4=$N$3,INDEX($O$2:$T$4,MATCH($B$4,Частота4,0),1),INDEX($O$2:$T$4,MATCH($B$4,Частота4,0),1)))</f>
        <v>30</v>
      </c>
      <c r="N7" s="45" t="s">
        <v>30</v>
      </c>
      <c r="O7" s="49">
        <v>30</v>
      </c>
      <c r="P7" s="49">
        <v>25</v>
      </c>
      <c r="Q7" s="49">
        <v>40</v>
      </c>
      <c r="R7" s="50">
        <v>20</v>
      </c>
      <c r="S7" s="51">
        <v>5</v>
      </c>
      <c r="T7" s="35">
        <f>SUM(O7:S7)</f>
        <v>120</v>
      </c>
    </row>
    <row r="8" spans="1:20">
      <c r="A8" s="21" t="s">
        <v>1</v>
      </c>
      <c r="B8" s="6">
        <v>1.2979039999999999</v>
      </c>
      <c r="C8" s="7">
        <f t="shared" ref="C8:C12" si="0">$B$2*B8*100</f>
        <v>1297.904</v>
      </c>
      <c r="D8" s="9">
        <v>82.542520580000001</v>
      </c>
      <c r="E8" s="7">
        <f t="shared" ref="E8:E12" si="1">$E$2/TAN(D8*PI()/180)</f>
        <v>26.179516861499977</v>
      </c>
      <c r="F8" s="7">
        <f t="shared" ref="F8:F12" si="2">C8-$B$3</f>
        <v>1164.904</v>
      </c>
      <c r="G8" s="14">
        <f>IF($B$4=$N$2,INDEX($O$2:$T$4,MATCH($B$4,Частота4,0),2),IF($B$4=$N$3,INDEX($O$2:$T$4,MATCH($B$4,Частота4,0),2),INDEX($O$2:$T$4,MATCH($B$4,Частота4,0),2)))</f>
        <v>30</v>
      </c>
      <c r="N8" s="36" t="s">
        <v>31</v>
      </c>
      <c r="O8" s="5">
        <v>30</v>
      </c>
      <c r="P8" s="5">
        <v>30</v>
      </c>
      <c r="Q8" s="5">
        <v>60</v>
      </c>
      <c r="R8" s="34">
        <v>30</v>
      </c>
      <c r="S8" s="46">
        <v>10</v>
      </c>
      <c r="T8" s="35">
        <f t="shared" ref="T8:T9" si="3">SUM(O8:S8)</f>
        <v>160</v>
      </c>
    </row>
    <row r="9" spans="1:20" ht="15.75" thickBot="1">
      <c r="A9" s="22" t="s">
        <v>2</v>
      </c>
      <c r="B9" s="6">
        <v>1.5453129999999999</v>
      </c>
      <c r="C9" s="7">
        <f t="shared" si="0"/>
        <v>1545.3129999999999</v>
      </c>
      <c r="D9" s="9">
        <v>81.110382959999995</v>
      </c>
      <c r="E9" s="7">
        <f t="shared" si="1"/>
        <v>31.282033117570474</v>
      </c>
      <c r="F9" s="7">
        <f t="shared" si="2"/>
        <v>1412.3129999999999</v>
      </c>
      <c r="G9" s="14">
        <f>IF($B$4=$N$2,INDEX($O$2:$T$4,MATCH($B$4,Частота4,0),3),IF($B$4=$N$3,INDEX($O$2:$T$4,MATCH($B$4,Частота4,0),3),INDEX($O$2:$T$4,MATCH($B$4,Частота4,0),3)))</f>
        <v>50</v>
      </c>
      <c r="N9" s="38" t="s">
        <v>32</v>
      </c>
      <c r="O9" s="47">
        <v>30</v>
      </c>
      <c r="P9" s="47">
        <v>35</v>
      </c>
      <c r="Q9" s="47">
        <v>80</v>
      </c>
      <c r="R9" s="47">
        <v>40</v>
      </c>
      <c r="S9" s="48">
        <v>15</v>
      </c>
      <c r="T9" s="35">
        <f t="shared" si="3"/>
        <v>200</v>
      </c>
    </row>
    <row r="10" spans="1:20">
      <c r="A10" s="25" t="s">
        <v>3</v>
      </c>
      <c r="B10" s="6">
        <v>1.5643450000000001</v>
      </c>
      <c r="C10" s="7">
        <f t="shared" si="0"/>
        <v>1564.3450000000003</v>
      </c>
      <c r="D10" s="9">
        <v>81</v>
      </c>
      <c r="E10" s="7">
        <f t="shared" si="1"/>
        <v>31.676888064907267</v>
      </c>
      <c r="F10" s="7">
        <f t="shared" si="2"/>
        <v>1431.3450000000003</v>
      </c>
      <c r="G10" s="14">
        <f>IF($B$4=$N$2,INDEX($O$2:$T$4,MATCH($B$4,Частота4,0),4),IF($B$4=$N$3,INDEX($O$2:$T$4,MATCH($B$4,Частота4,0),4),INDEX($O$2:$T$4,MATCH($B$4,Частота4,0),4)))</f>
        <v>40</v>
      </c>
    </row>
    <row r="11" spans="1:20">
      <c r="A11" s="26" t="s">
        <v>15</v>
      </c>
      <c r="B11" s="9">
        <v>1.624598</v>
      </c>
      <c r="C11" s="7">
        <f t="shared" si="0"/>
        <v>1624.598</v>
      </c>
      <c r="D11" s="9">
        <v>80.650296440000005</v>
      </c>
      <c r="E11" s="7">
        <f t="shared" si="1"/>
        <v>32.929432075259164</v>
      </c>
      <c r="F11" s="7">
        <f t="shared" si="2"/>
        <v>1491.598</v>
      </c>
      <c r="G11" s="14">
        <f>IF($B$4=$N$2,INDEX($O$2:$T$4,MATCH($B$4,Частота4,0),5),IF($B$4=$N$3,INDEX($O$2:$T$4,MATCH($B$4,Частота4,0),5),INDEX($O$2:$T$4,MATCH($B$4,Частота4,0),5)))</f>
        <v>20</v>
      </c>
    </row>
    <row r="12" spans="1:20" ht="15.75" thickBot="1">
      <c r="A12" s="27" t="s">
        <v>16</v>
      </c>
      <c r="B12" s="16">
        <v>1.6470940000000001</v>
      </c>
      <c r="C12" s="17">
        <f t="shared" si="0"/>
        <v>1647.0939999999998</v>
      </c>
      <c r="D12" s="16">
        <v>80.519645060000002</v>
      </c>
      <c r="E12" s="17">
        <f t="shared" si="1"/>
        <v>33.39803134145982</v>
      </c>
      <c r="F12" s="17">
        <f t="shared" si="2"/>
        <v>1514.0939999999998</v>
      </c>
      <c r="G12" s="18">
        <f>IF($B$4=$N$2,INDEX($O$2:$T$4,MATCH($B$4,Частота4,0),6),IF($B$4=$N$3,INDEX($O$2:$T$4,MATCH($B$4,Частота4,0),6),INDEX($O$2:$T$4,MATCH($B$4,Частота4,0),6)))</f>
        <v>20</v>
      </c>
    </row>
    <row r="13" spans="1:20">
      <c r="F13" s="4" t="s">
        <v>17</v>
      </c>
      <c r="G13" s="4">
        <f>SUM(G7:G12)</f>
        <v>190</v>
      </c>
    </row>
    <row r="14" spans="1:20" ht="15.75" thickBot="1"/>
    <row r="15" spans="1:20">
      <c r="A15" s="10" t="s">
        <v>23</v>
      </c>
      <c r="B15" s="11" t="s">
        <v>25</v>
      </c>
      <c r="C15" s="12" t="s">
        <v>24</v>
      </c>
      <c r="E15" s="3" t="s">
        <v>28</v>
      </c>
    </row>
    <row r="16" spans="1:20">
      <c r="A16" s="19" t="s">
        <v>18</v>
      </c>
      <c r="B16" s="7">
        <f>SQRT(E16*(E16-C7)*(E16-C7)*(E16-C8))/1000000</f>
        <v>0.58515501478236132</v>
      </c>
      <c r="C16" s="14">
        <f>IF($B$4=$N$2,INDEX($O$7:$S$9,MATCH($B$4,Частота4,0),1),IF($B$4=$N$3,INDEX($O$7:$S$9,MATCH($B$4,Частота4,0),1),INDEX($O$7:$S$9,MATCH($B$4,Частота4,0),1)))</f>
        <v>30</v>
      </c>
      <c r="E16">
        <f>(C7+C7+C8)/2</f>
        <v>1759.8920000000001</v>
      </c>
    </row>
    <row r="17" spans="1:5">
      <c r="A17" s="19" t="s">
        <v>19</v>
      </c>
      <c r="B17" s="7">
        <f>SQRT(E17*(E17-C9)*(E17-C9)*(E17-C8))/1000000</f>
        <v>0.91011985588893385</v>
      </c>
      <c r="C17" s="14">
        <f>IF($B$4=$N$2,INDEX($O$7:$S$9,MATCH($B$4,Частота4,0),2),IF($B$4=$N$3,INDEX($O$7:$S$9,MATCH($B$4,Частота4,0),2),INDEX($O$7:$S$9,MATCH($B$4,Частота4,0),2)))</f>
        <v>25</v>
      </c>
      <c r="E17">
        <f>(C9+C9+C8)/2</f>
        <v>2194.2649999999999</v>
      </c>
    </row>
    <row r="18" spans="1:5">
      <c r="A18" s="19" t="s">
        <v>20</v>
      </c>
      <c r="B18" s="7">
        <f>SQRT(E18*(E18-C9)*(E18-C10)*(E18-C12))/1000000</f>
        <v>1.0860306791245442</v>
      </c>
      <c r="C18" s="14">
        <f>IF($B$4=$N$2,INDEX($O$7:$S$9,MATCH($B$4,Частота4,0),3),IF($B$4=$N$3,INDEX($O$7:$S$9,MATCH($B$4,Частота4,0),3),INDEX($O$7:$S$9,MATCH($B$4,Частота4,0),3)))</f>
        <v>40</v>
      </c>
      <c r="E18">
        <f>(C9+C10+C12)/2</f>
        <v>2378.3760000000002</v>
      </c>
    </row>
    <row r="19" spans="1:5">
      <c r="A19" s="19" t="s">
        <v>21</v>
      </c>
      <c r="B19" s="7">
        <f>SQRT(E19*(E19-C10)*(E19-C10)*(E19-C11))/1000000</f>
        <v>1.0859759012949917</v>
      </c>
      <c r="C19" s="14">
        <f>IF($B$4=$N$2,INDEX($O$7:$S$9,MATCH($B$4,Частота4,0),4),IF($B$4=$N$3,INDEX($O$7:$S$9,MATCH($B$4,Частота4,0),4),INDEX($O$7:$S$9,MATCH($B$4,Частота4,0),4)))</f>
        <v>20</v>
      </c>
      <c r="E19">
        <f>(C10+C10+C11)/2</f>
        <v>2376.6440000000002</v>
      </c>
    </row>
    <row r="20" spans="1:5" ht="15.75" thickBot="1">
      <c r="A20" s="20" t="s">
        <v>22</v>
      </c>
      <c r="B20" s="17">
        <f>SQRT(E20*(E20-C11)*(E20-C11)*(E20-C11))/1000000</f>
        <v>1.1428585048157041</v>
      </c>
      <c r="C20" s="18">
        <f>IF($B$4=$N$2,INDEX($O$7:$S$9,MATCH($B$4,Частота4,0),5),IF($B$4=$N$3,INDEX($O$7:$S$9,MATCH($B$4,Частота4,0),5),INDEX($O$7:$S$9,MATCH($B$4,Частота4,0),5)))</f>
        <v>5</v>
      </c>
      <c r="E20">
        <f>(C11+C11+C11)/2</f>
        <v>2436.8969999999999</v>
      </c>
    </row>
    <row r="21" spans="1:5">
      <c r="A21" s="4" t="s">
        <v>17</v>
      </c>
      <c r="B21" s="56" t="s">
        <v>34</v>
      </c>
      <c r="C21" s="4">
        <f>SUM(C16:C20)</f>
        <v>120</v>
      </c>
    </row>
    <row r="22" spans="1:5">
      <c r="B22" s="56" t="s">
        <v>35</v>
      </c>
      <c r="C22" s="4">
        <f>SUM(C16*B16,C17*B17,C18*B18,C19*B19,C20*B20)</f>
        <v>111.1826845556543</v>
      </c>
    </row>
  </sheetData>
  <dataValidations count="2">
    <dataValidation type="list" allowBlank="1" showInputMessage="1" showErrorMessage="1" sqref="E3">
      <formula1>Толщина_балок</formula1>
    </dataValidation>
    <dataValidation type="list" allowBlank="1" showInputMessage="1" showErrorMessage="1" sqref="B4">
      <formula1>Частота4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Купол 2V</vt:lpstr>
      <vt:lpstr>Купол 3V</vt:lpstr>
      <vt:lpstr>Купол 4V</vt:lpstr>
      <vt:lpstr>Диаметр_трубы</vt:lpstr>
      <vt:lpstr>Толщина_балки</vt:lpstr>
      <vt:lpstr>Толщина_балок</vt:lpstr>
      <vt:lpstr>Частота3</vt:lpstr>
      <vt:lpstr>Частота4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2012-03-06T08:56:03Z</dcterms:created>
  <dcterms:modified xsi:type="dcterms:W3CDTF">2012-03-07T14:13:30Z</dcterms:modified>
</cp:coreProperties>
</file>